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ECRETARIA GENERAL\EDNA\camrneza\"/>
    </mc:Choice>
  </mc:AlternateContent>
  <bookViews>
    <workbookView xWindow="0" yWindow="0" windowWidth="28800" windowHeight="11730" firstSheet="1" activeTab="4"/>
  </bookViews>
  <sheets>
    <sheet name="GRUPO I CHINCHINA  ARAUCA KM41 " sheetId="150" r:id="rId1"/>
    <sheet name=" GRUPO II BELALCAZAR Y ANSERMA " sheetId="147" r:id="rId2"/>
    <sheet name="GRUPO III DORADA VICTORIA SAMAN" sheetId="1" r:id="rId3"/>
    <sheet name="GRUPO IV RIOSUCIO SUPIA " sheetId="151" r:id="rId4"/>
    <sheet name="GRUPO V AGUADAS NEIRA SALAMINA " sheetId="152" r:id="rId5"/>
  </sheets>
  <definedNames>
    <definedName name="_xlnm._FilterDatabase" localSheetId="0" hidden="1">'GRUPO I CHINCHINA  ARAUCA KM41 '!#REF!</definedName>
    <definedName name="_xlnm.Print_Area" localSheetId="0">'GRUPO I CHINCHINA  ARAUCA KM41 '!#REF!</definedName>
    <definedName name="_xlnm.Print_Area" localSheetId="2">'GRUPO III DORADA VICTORIA SAMAN'!#REF!</definedName>
    <definedName name="_xlnm.Print_Area" localSheetId="3">'GRUPO IV RIOSUCIO SUPIA '!#REF!</definedName>
    <definedName name="_xlnm.Print_Area" localSheetId="4">'GRUPO V AGUADAS NEIRA SALAMINA '!#REF!</definedName>
  </definedNames>
  <calcPr calcId="162913"/>
</workbook>
</file>

<file path=xl/calcChain.xml><?xml version="1.0" encoding="utf-8"?>
<calcChain xmlns="http://schemas.openxmlformats.org/spreadsheetml/2006/main">
  <c r="E427" i="151" l="1"/>
  <c r="F24" i="150" l="1"/>
  <c r="F23" i="150"/>
  <c r="F22" i="150"/>
  <c r="F21" i="150"/>
  <c r="F20" i="150"/>
  <c r="F19" i="150"/>
  <c r="F18" i="150"/>
  <c r="F17" i="150"/>
  <c r="F16" i="150"/>
  <c r="F15" i="150"/>
  <c r="F14" i="150"/>
  <c r="F13" i="150"/>
  <c r="F12" i="150"/>
  <c r="F11" i="150"/>
  <c r="F10" i="150"/>
  <c r="F9" i="150"/>
  <c r="F8" i="150"/>
  <c r="F25" i="150" s="1"/>
  <c r="F26" i="150" s="1"/>
  <c r="F417" i="152" l="1"/>
  <c r="F418" i="152"/>
  <c r="F419" i="152"/>
  <c r="F420" i="152"/>
  <c r="F422" i="152"/>
  <c r="F423" i="152"/>
  <c r="F425" i="152"/>
  <c r="F426" i="152"/>
  <c r="F427" i="152"/>
  <c r="F428" i="152"/>
  <c r="F430" i="152"/>
  <c r="F431" i="152"/>
  <c r="F432" i="152"/>
  <c r="F433" i="152"/>
  <c r="F434" i="152"/>
  <c r="F435" i="152"/>
  <c r="F436" i="152"/>
  <c r="F437" i="152"/>
  <c r="F438" i="152"/>
  <c r="F439" i="152"/>
  <c r="F440" i="152"/>
  <c r="F441" i="152"/>
  <c r="F442" i="152"/>
  <c r="F443" i="152"/>
  <c r="F445" i="152"/>
  <c r="F446" i="152"/>
  <c r="F448" i="152"/>
  <c r="F449" i="152"/>
  <c r="F416" i="152"/>
  <c r="F100" i="152"/>
  <c r="F64" i="151"/>
  <c r="F65" i="151"/>
  <c r="F66" i="151"/>
  <c r="F68" i="151"/>
  <c r="F69" i="151"/>
  <c r="F71" i="151"/>
  <c r="F72" i="151"/>
  <c r="F73" i="151"/>
  <c r="F76" i="151"/>
  <c r="F77" i="151"/>
  <c r="F78" i="151"/>
  <c r="F79" i="151"/>
  <c r="F80" i="151"/>
  <c r="F81" i="151"/>
  <c r="F82" i="151"/>
  <c r="F84" i="151"/>
  <c r="F85" i="151"/>
  <c r="F86" i="151"/>
  <c r="F88" i="151"/>
  <c r="F89" i="151"/>
  <c r="F91" i="151"/>
  <c r="F92" i="151"/>
  <c r="F63" i="151"/>
  <c r="F206" i="150"/>
  <c r="F207" i="150"/>
  <c r="F208" i="150"/>
  <c r="F209" i="150"/>
  <c r="F210" i="150"/>
  <c r="F211" i="150"/>
  <c r="F199" i="150"/>
  <c r="F200" i="150"/>
  <c r="F201" i="150"/>
  <c r="F202" i="150"/>
  <c r="F203" i="150"/>
  <c r="F204" i="150"/>
  <c r="F205" i="150"/>
  <c r="F198" i="150"/>
  <c r="F195" i="150"/>
  <c r="F196" i="150"/>
  <c r="F194" i="150"/>
  <c r="F186" i="150"/>
  <c r="F187" i="150"/>
  <c r="F188" i="150"/>
  <c r="F189" i="150"/>
  <c r="F190" i="150"/>
  <c r="F191" i="150"/>
  <c r="F192" i="150"/>
  <c r="F185" i="150"/>
  <c r="F183" i="150"/>
  <c r="F181" i="150"/>
  <c r="F182" i="150"/>
  <c r="F180" i="150"/>
  <c r="F164" i="150"/>
  <c r="F162" i="150"/>
  <c r="F161" i="150"/>
  <c r="F160" i="150"/>
  <c r="F159" i="150"/>
  <c r="F158" i="150"/>
  <c r="F157" i="150"/>
  <c r="F155" i="150"/>
  <c r="F154" i="150"/>
  <c r="F145" i="150"/>
  <c r="F147" i="150"/>
  <c r="F148" i="150"/>
  <c r="F149" i="150"/>
  <c r="F150" i="150"/>
  <c r="F151" i="150"/>
  <c r="F152" i="150"/>
  <c r="F144" i="150"/>
  <c r="F450" i="152" l="1"/>
  <c r="D463" i="152" s="1"/>
  <c r="F143" i="150"/>
  <c r="F153" i="150"/>
  <c r="F451" i="152"/>
  <c r="A275" i="1"/>
  <c r="A276" i="1" s="1"/>
  <c r="A277" i="1" s="1"/>
  <c r="A274" i="1"/>
  <c r="F486" i="1"/>
  <c r="F230" i="1"/>
  <c r="F222" i="1"/>
  <c r="F502" i="1"/>
  <c r="F500" i="1"/>
  <c r="F499" i="1"/>
  <c r="F498" i="1"/>
  <c r="F497" i="1"/>
  <c r="F495" i="1"/>
  <c r="F494" i="1"/>
  <c r="F493" i="1"/>
  <c r="F492" i="1"/>
  <c r="F491" i="1"/>
  <c r="F490" i="1"/>
  <c r="F489" i="1"/>
  <c r="F488" i="1"/>
  <c r="F487" i="1"/>
  <c r="F485" i="1"/>
  <c r="F484" i="1"/>
  <c r="F482" i="1"/>
  <c r="F481" i="1"/>
  <c r="F480" i="1"/>
  <c r="F478" i="1"/>
  <c r="F477" i="1"/>
  <c r="F475" i="1"/>
  <c r="F474" i="1"/>
  <c r="F473" i="1"/>
  <c r="F471" i="1"/>
  <c r="F469" i="1"/>
  <c r="F468" i="1"/>
  <c r="F467" i="1"/>
  <c r="F465" i="1"/>
  <c r="F464" i="1"/>
  <c r="F463" i="1"/>
  <c r="F462" i="1"/>
  <c r="F446" i="1"/>
  <c r="F444" i="1"/>
  <c r="F443" i="1"/>
  <c r="F441" i="1"/>
  <c r="F440" i="1"/>
  <c r="F439" i="1"/>
  <c r="F438" i="1"/>
  <c r="F437" i="1"/>
  <c r="F436" i="1"/>
  <c r="F434" i="1"/>
  <c r="F433" i="1"/>
  <c r="F432" i="1"/>
  <c r="F431" i="1"/>
  <c r="F430" i="1"/>
  <c r="F429" i="1"/>
  <c r="F428" i="1"/>
  <c r="F427" i="1"/>
  <c r="F426" i="1"/>
  <c r="F425" i="1"/>
  <c r="F424" i="1"/>
  <c r="F422" i="1"/>
  <c r="F421" i="1"/>
  <c r="F420" i="1"/>
  <c r="F418" i="1"/>
  <c r="F417" i="1"/>
  <c r="F415" i="1"/>
  <c r="F414" i="1"/>
  <c r="F413" i="1"/>
  <c r="F411" i="1"/>
  <c r="F409" i="1"/>
  <c r="F408" i="1"/>
  <c r="F407" i="1"/>
  <c r="F406" i="1"/>
  <c r="F404" i="1"/>
  <c r="F403" i="1"/>
  <c r="F402" i="1"/>
  <c r="F401" i="1"/>
  <c r="F385" i="1"/>
  <c r="F383" i="1"/>
  <c r="F382" i="1"/>
  <c r="F381" i="1"/>
  <c r="F380" i="1"/>
  <c r="F379" i="1"/>
  <c r="F378" i="1"/>
  <c r="F377" i="1"/>
  <c r="F375" i="1"/>
  <c r="F374" i="1"/>
  <c r="F372" i="1"/>
  <c r="F371" i="1"/>
  <c r="F369" i="1"/>
  <c r="F367" i="1"/>
  <c r="F366" i="1"/>
  <c r="F365" i="1"/>
  <c r="F363" i="1"/>
  <c r="F362" i="1"/>
  <c r="F361" i="1"/>
  <c r="F359" i="1"/>
  <c r="F358" i="1"/>
  <c r="F357" i="1"/>
  <c r="F341" i="1"/>
  <c r="F339" i="1"/>
  <c r="F338" i="1"/>
  <c r="F337" i="1"/>
  <c r="F335" i="1"/>
  <c r="F334" i="1"/>
  <c r="F333" i="1"/>
  <c r="F332" i="1"/>
  <c r="F331" i="1"/>
  <c r="F330" i="1"/>
  <c r="F329" i="1"/>
  <c r="F328" i="1"/>
  <c r="F327" i="1"/>
  <c r="F325" i="1"/>
  <c r="F324" i="1"/>
  <c r="F322" i="1"/>
  <c r="F321" i="1"/>
  <c r="F319" i="1"/>
  <c r="F317" i="1"/>
  <c r="F316" i="1"/>
  <c r="F314" i="1"/>
  <c r="F313" i="1"/>
  <c r="F312" i="1"/>
  <c r="F310" i="1"/>
  <c r="F309" i="1"/>
  <c r="F308" i="1"/>
  <c r="F307" i="1"/>
  <c r="F291" i="1"/>
  <c r="F289" i="1"/>
  <c r="F288" i="1"/>
  <c r="F287" i="1"/>
  <c r="F286" i="1"/>
  <c r="F285" i="1"/>
  <c r="F283" i="1"/>
  <c r="F282" i="1"/>
  <c r="F281" i="1"/>
  <c r="F280" i="1"/>
  <c r="F279" i="1"/>
  <c r="F277" i="1"/>
  <c r="F276" i="1"/>
  <c r="F275" i="1"/>
  <c r="F274" i="1"/>
  <c r="F273" i="1"/>
  <c r="F272" i="1"/>
  <c r="F271" i="1"/>
  <c r="F270" i="1"/>
  <c r="F269" i="1"/>
  <c r="F267" i="1"/>
  <c r="F266" i="1"/>
  <c r="F264" i="1"/>
  <c r="F263" i="1"/>
  <c r="F261" i="1"/>
  <c r="F259" i="1"/>
  <c r="F258" i="1"/>
  <c r="F257" i="1"/>
  <c r="F255" i="1"/>
  <c r="F254" i="1"/>
  <c r="F253" i="1"/>
  <c r="F251" i="1"/>
  <c r="F250" i="1"/>
  <c r="F249" i="1"/>
  <c r="F248" i="1"/>
  <c r="F247" i="1"/>
  <c r="F427" i="151"/>
  <c r="F425" i="151"/>
  <c r="F423" i="151"/>
  <c r="F422" i="151"/>
  <c r="F420" i="151"/>
  <c r="F418" i="151"/>
  <c r="F417" i="151"/>
  <c r="F416" i="151"/>
  <c r="F415" i="151"/>
  <c r="F413" i="151"/>
  <c r="F411" i="151"/>
  <c r="F410" i="151"/>
  <c r="F409" i="151"/>
  <c r="F407" i="151"/>
  <c r="F406" i="151"/>
  <c r="F405" i="151"/>
  <c r="F403" i="151"/>
  <c r="F402" i="151"/>
  <c r="F401" i="151"/>
  <c r="F399" i="151"/>
  <c r="F398" i="151"/>
  <c r="F396" i="151"/>
  <c r="F395" i="151"/>
  <c r="F394" i="151"/>
  <c r="F392" i="151"/>
  <c r="F391" i="151"/>
  <c r="F389" i="151"/>
  <c r="F388" i="151"/>
  <c r="F387" i="151"/>
  <c r="F386" i="151"/>
  <c r="F369" i="151"/>
  <c r="F367" i="151"/>
  <c r="F365" i="151"/>
  <c r="F364" i="151"/>
  <c r="F362" i="151"/>
  <c r="F360" i="151"/>
  <c r="F359" i="151"/>
  <c r="F358" i="151"/>
  <c r="F357" i="151"/>
  <c r="F355" i="151"/>
  <c r="F353" i="151"/>
  <c r="F352" i="151"/>
  <c r="F351" i="151"/>
  <c r="F349" i="151"/>
  <c r="F347" i="151"/>
  <c r="F345" i="151"/>
  <c r="F344" i="151"/>
  <c r="F343" i="151"/>
  <c r="F341" i="151"/>
  <c r="F340" i="151"/>
  <c r="F338" i="151"/>
  <c r="F337" i="151"/>
  <c r="F336" i="151"/>
  <c r="F334" i="151"/>
  <c r="F333" i="151"/>
  <c r="F331" i="151"/>
  <c r="F330" i="151"/>
  <c r="F329" i="151"/>
  <c r="F328" i="151"/>
  <c r="F311" i="151"/>
  <c r="F309" i="151"/>
  <c r="F307" i="151"/>
  <c r="F306" i="151"/>
  <c r="F304" i="151"/>
  <c r="F302" i="151"/>
  <c r="F301" i="151"/>
  <c r="F300" i="151"/>
  <c r="F299" i="151"/>
  <c r="F297" i="151"/>
  <c r="F295" i="151"/>
  <c r="F294" i="151"/>
  <c r="F293" i="151"/>
  <c r="F291" i="151"/>
  <c r="F289" i="151"/>
  <c r="F287" i="151"/>
  <c r="F286" i="151"/>
  <c r="F285" i="151"/>
  <c r="F283" i="151"/>
  <c r="F282" i="151"/>
  <c r="F281" i="151"/>
  <c r="F279" i="151"/>
  <c r="F278" i="151"/>
  <c r="F276" i="151"/>
  <c r="F275" i="151"/>
  <c r="F274" i="151"/>
  <c r="F273" i="151"/>
  <c r="F256" i="151"/>
  <c r="F254" i="151"/>
  <c r="F252" i="151"/>
  <c r="F251" i="151"/>
  <c r="F249" i="151"/>
  <c r="F247" i="151"/>
  <c r="F246" i="151"/>
  <c r="F245" i="151"/>
  <c r="F243" i="151"/>
  <c r="F241" i="151"/>
  <c r="F240" i="151"/>
  <c r="F239" i="151"/>
  <c r="F237" i="151"/>
  <c r="F235" i="151"/>
  <c r="F233" i="151"/>
  <c r="F232" i="151"/>
  <c r="F231" i="151"/>
  <c r="F229" i="151"/>
  <c r="F228" i="151"/>
  <c r="F226" i="151"/>
  <c r="F225" i="151"/>
  <c r="F224" i="151"/>
  <c r="F222" i="151"/>
  <c r="F221" i="151"/>
  <c r="F219" i="151"/>
  <c r="F218" i="151"/>
  <c r="F217" i="151"/>
  <c r="F216" i="151"/>
  <c r="F199" i="151"/>
  <c r="F197" i="151"/>
  <c r="F195" i="151"/>
  <c r="F193" i="151"/>
  <c r="F191" i="151"/>
  <c r="F189" i="151"/>
  <c r="F188" i="151"/>
  <c r="F187" i="151"/>
  <c r="F186" i="151"/>
  <c r="F184" i="151"/>
  <c r="F182" i="151"/>
  <c r="F181" i="151"/>
  <c r="F180" i="151"/>
  <c r="F178" i="151"/>
  <c r="F176" i="151"/>
  <c r="F174" i="151"/>
  <c r="F173" i="151"/>
  <c r="F172" i="151"/>
  <c r="A171" i="151"/>
  <c r="A172" i="151" s="1"/>
  <c r="A173" i="151" s="1"/>
  <c r="A174" i="151" s="1"/>
  <c r="F170" i="151"/>
  <c r="F169" i="151"/>
  <c r="F167" i="151"/>
  <c r="F166" i="151"/>
  <c r="F165" i="151"/>
  <c r="F163" i="151"/>
  <c r="F162" i="151"/>
  <c r="F160" i="151"/>
  <c r="F159" i="151"/>
  <c r="F158" i="151"/>
  <c r="F157" i="151"/>
  <c r="F140" i="151"/>
  <c r="F139" i="151"/>
  <c r="F137" i="151"/>
  <c r="F136" i="151"/>
  <c r="F134" i="151"/>
  <c r="F133" i="151"/>
  <c r="F132" i="151"/>
  <c r="F131" i="151"/>
  <c r="F129" i="151"/>
  <c r="F128" i="151"/>
  <c r="F127" i="151"/>
  <c r="F126" i="151"/>
  <c r="F125" i="151"/>
  <c r="F124" i="151"/>
  <c r="F123" i="151"/>
  <c r="F122" i="151"/>
  <c r="F121" i="151"/>
  <c r="F119" i="151"/>
  <c r="F118" i="151"/>
  <c r="F117" i="151"/>
  <c r="F116" i="151"/>
  <c r="F114" i="151"/>
  <c r="F113" i="151"/>
  <c r="F111" i="151"/>
  <c r="F110" i="151"/>
  <c r="F109" i="151"/>
  <c r="F108" i="151"/>
  <c r="A108" i="151"/>
  <c r="A109" i="151" s="1"/>
  <c r="A110" i="151" s="1"/>
  <c r="A111" i="151" s="1"/>
  <c r="A112" i="151" s="1"/>
  <c r="A113" i="151" s="1"/>
  <c r="A114" i="151" s="1"/>
  <c r="A115" i="151" s="1"/>
  <c r="A116" i="151" s="1"/>
  <c r="A117" i="151" s="1"/>
  <c r="A118" i="151" s="1"/>
  <c r="A119" i="151" s="1"/>
  <c r="A120" i="151" s="1"/>
  <c r="A121" i="151" s="1"/>
  <c r="A122" i="151" s="1"/>
  <c r="A123" i="151" s="1"/>
  <c r="A124" i="151" s="1"/>
  <c r="A125" i="151" s="1"/>
  <c r="A126" i="151" s="1"/>
  <c r="A127" i="151" s="1"/>
  <c r="A128" i="151" s="1"/>
  <c r="A129" i="151" s="1"/>
  <c r="A130" i="151" s="1"/>
  <c r="A131" i="151" s="1"/>
  <c r="A132" i="151" s="1"/>
  <c r="A133" i="151" s="1"/>
  <c r="A134" i="151" s="1"/>
  <c r="A135" i="151" s="1"/>
  <c r="A136" i="151" s="1"/>
  <c r="A137" i="151" s="1"/>
  <c r="A138" i="151" s="1"/>
  <c r="A139" i="151" s="1"/>
  <c r="A140" i="151" s="1"/>
  <c r="E75" i="151"/>
  <c r="F75" i="151" s="1"/>
  <c r="A65" i="151"/>
  <c r="A66" i="151" s="1"/>
  <c r="A67" i="151" s="1"/>
  <c r="A68" i="151" s="1"/>
  <c r="A69" i="151" s="1"/>
  <c r="A70" i="151" s="1"/>
  <c r="A71" i="151" s="1"/>
  <c r="A72" i="151" s="1"/>
  <c r="A73" i="151" s="1"/>
  <c r="A74" i="151" s="1"/>
  <c r="A75" i="151" s="1"/>
  <c r="A76" i="151" s="1"/>
  <c r="A77" i="151" s="1"/>
  <c r="A78" i="151" s="1"/>
  <c r="A79" i="151" s="1"/>
  <c r="A80" i="151" s="1"/>
  <c r="A81" i="151" s="1"/>
  <c r="A82" i="151" s="1"/>
  <c r="A83" i="151" s="1"/>
  <c r="A84" i="151" s="1"/>
  <c r="A85" i="151" s="1"/>
  <c r="A86" i="151" s="1"/>
  <c r="A87" i="151" s="1"/>
  <c r="A88" i="151" s="1"/>
  <c r="A89" i="151" s="1"/>
  <c r="A90" i="151" s="1"/>
  <c r="A91" i="151" s="1"/>
  <c r="A92" i="151" s="1"/>
  <c r="A64" i="151"/>
  <c r="F47" i="151"/>
  <c r="F45" i="151"/>
  <c r="F42" i="151"/>
  <c r="F40" i="151"/>
  <c r="F38" i="151"/>
  <c r="F36" i="151"/>
  <c r="F35" i="151"/>
  <c r="F34" i="151"/>
  <c r="F32" i="151"/>
  <c r="F31" i="151"/>
  <c r="F28" i="151"/>
  <c r="F26" i="151"/>
  <c r="F24" i="151"/>
  <c r="F23" i="151"/>
  <c r="F22" i="151"/>
  <c r="F20" i="151"/>
  <c r="F19" i="151"/>
  <c r="F30" i="151"/>
  <c r="F16" i="151"/>
  <c r="F43" i="151"/>
  <c r="F13" i="151"/>
  <c r="F12" i="151"/>
  <c r="F11" i="151"/>
  <c r="F10" i="151"/>
  <c r="F9" i="151"/>
  <c r="F402" i="152"/>
  <c r="F400" i="152"/>
  <c r="D398" i="152"/>
  <c r="F398" i="152" s="1"/>
  <c r="F397" i="152"/>
  <c r="F396" i="152"/>
  <c r="F394" i="152"/>
  <c r="F393" i="152"/>
  <c r="F392" i="152"/>
  <c r="F391" i="152"/>
  <c r="F390" i="152"/>
  <c r="F389" i="152"/>
  <c r="F388" i="152"/>
  <c r="F386" i="152"/>
  <c r="F385" i="152"/>
  <c r="F383" i="152"/>
  <c r="F382" i="152"/>
  <c r="F369" i="152"/>
  <c r="F367" i="152"/>
  <c r="F366" i="152"/>
  <c r="F364" i="152"/>
  <c r="F363" i="152"/>
  <c r="F362" i="152"/>
  <c r="F361" i="152"/>
  <c r="F360" i="152"/>
  <c r="F359" i="152"/>
  <c r="F358" i="152"/>
  <c r="F356" i="152"/>
  <c r="F355" i="152"/>
  <c r="F354" i="152"/>
  <c r="F352" i="152"/>
  <c r="F350" i="152"/>
  <c r="F349" i="152"/>
  <c r="F228" i="1"/>
  <c r="F227" i="1"/>
  <c r="F226" i="1"/>
  <c r="F224" i="1"/>
  <c r="F223" i="1"/>
  <c r="F221" i="1"/>
  <c r="F220" i="1"/>
  <c r="F218" i="1"/>
  <c r="F217" i="1"/>
  <c r="F216" i="1"/>
  <c r="F214" i="1"/>
  <c r="F213" i="1"/>
  <c r="F211" i="1"/>
  <c r="F210" i="1"/>
  <c r="F208" i="1"/>
  <c r="F206" i="1"/>
  <c r="F205" i="1"/>
  <c r="F204" i="1"/>
  <c r="F202" i="1"/>
  <c r="F201" i="1"/>
  <c r="F200" i="1"/>
  <c r="F199" i="1"/>
  <c r="F183" i="1"/>
  <c r="F181" i="1"/>
  <c r="F180" i="1"/>
  <c r="F178" i="1"/>
  <c r="F177" i="1"/>
  <c r="F176" i="1"/>
  <c r="F174" i="1"/>
  <c r="F173" i="1"/>
  <c r="F172" i="1"/>
  <c r="F170" i="1"/>
  <c r="A170" i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F169" i="1"/>
  <c r="F167" i="1"/>
  <c r="F166" i="1"/>
  <c r="F164" i="1"/>
  <c r="D163" i="1"/>
  <c r="F163" i="1" s="1"/>
  <c r="F162" i="1"/>
  <c r="F161" i="1"/>
  <c r="F144" i="1"/>
  <c r="F142" i="1"/>
  <c r="F141" i="1"/>
  <c r="F140" i="1"/>
  <c r="F138" i="1"/>
  <c r="F137" i="1"/>
  <c r="F136" i="1"/>
  <c r="F134" i="1"/>
  <c r="F133" i="1"/>
  <c r="F132" i="1"/>
  <c r="F131" i="1"/>
  <c r="A131" i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F130" i="1"/>
  <c r="F129" i="1"/>
  <c r="F127" i="1"/>
  <c r="F126" i="1"/>
  <c r="F125" i="1"/>
  <c r="F123" i="1"/>
  <c r="F122" i="1"/>
  <c r="F120" i="1"/>
  <c r="F119" i="1"/>
  <c r="F118" i="1"/>
  <c r="F117" i="1"/>
  <c r="F100" i="1"/>
  <c r="F98" i="1"/>
  <c r="F97" i="1"/>
  <c r="F96" i="1"/>
  <c r="F94" i="1"/>
  <c r="F93" i="1"/>
  <c r="F92" i="1"/>
  <c r="F91" i="1"/>
  <c r="F90" i="1"/>
  <c r="F89" i="1"/>
  <c r="F88" i="1"/>
  <c r="F87" i="1"/>
  <c r="F86" i="1"/>
  <c r="F85" i="1"/>
  <c r="F84" i="1"/>
  <c r="F82" i="1"/>
  <c r="F81" i="1"/>
  <c r="F80" i="1"/>
  <c r="F78" i="1"/>
  <c r="F77" i="1"/>
  <c r="F75" i="1"/>
  <c r="F74" i="1"/>
  <c r="F73" i="1"/>
  <c r="F71" i="1"/>
  <c r="F69" i="1"/>
  <c r="F68" i="1"/>
  <c r="F67" i="1"/>
  <c r="F66" i="1"/>
  <c r="F64" i="1"/>
  <c r="F63" i="1"/>
  <c r="F62" i="1"/>
  <c r="F61" i="1"/>
  <c r="F45" i="1"/>
  <c r="F43" i="1"/>
  <c r="F42" i="1"/>
  <c r="F41" i="1"/>
  <c r="F39" i="1"/>
  <c r="F38" i="1"/>
  <c r="F37" i="1"/>
  <c r="F36" i="1"/>
  <c r="F35" i="1"/>
  <c r="F34" i="1"/>
  <c r="F33" i="1"/>
  <c r="F32" i="1"/>
  <c r="F31" i="1"/>
  <c r="F29" i="1"/>
  <c r="F28" i="1"/>
  <c r="F27" i="1"/>
  <c r="F25" i="1"/>
  <c r="F24" i="1"/>
  <c r="F22" i="1"/>
  <c r="F21" i="1"/>
  <c r="F20" i="1"/>
  <c r="F18" i="1"/>
  <c r="F16" i="1"/>
  <c r="F15" i="1"/>
  <c r="F14" i="1"/>
  <c r="F13" i="1"/>
  <c r="F11" i="1"/>
  <c r="F10" i="1"/>
  <c r="F9" i="1"/>
  <c r="F8" i="1"/>
  <c r="F38" i="150"/>
  <c r="F39" i="150"/>
  <c r="F40" i="150"/>
  <c r="F41" i="150"/>
  <c r="F43" i="150"/>
  <c r="F44" i="150"/>
  <c r="F46" i="150"/>
  <c r="F47" i="150"/>
  <c r="F48" i="150"/>
  <c r="F49" i="150"/>
  <c r="F50" i="150"/>
  <c r="F51" i="150"/>
  <c r="F54" i="150"/>
  <c r="F55" i="150"/>
  <c r="F56" i="150"/>
  <c r="F57" i="150"/>
  <c r="F58" i="150"/>
  <c r="F59" i="150"/>
  <c r="F60" i="150"/>
  <c r="F62" i="150"/>
  <c r="F63" i="150"/>
  <c r="F64" i="150"/>
  <c r="F65" i="150"/>
  <c r="F67" i="150"/>
  <c r="F68" i="150"/>
  <c r="F70" i="150"/>
  <c r="F71" i="150"/>
  <c r="F37" i="150"/>
  <c r="F163" i="150"/>
  <c r="F702" i="150"/>
  <c r="F701" i="150"/>
  <c r="F700" i="150"/>
  <c r="F699" i="150"/>
  <c r="F697" i="150"/>
  <c r="F696" i="150"/>
  <c r="F694" i="150"/>
  <c r="F693" i="150"/>
  <c r="F692" i="150"/>
  <c r="F690" i="150"/>
  <c r="F689" i="150"/>
  <c r="F688" i="150"/>
  <c r="F687" i="150"/>
  <c r="F685" i="150"/>
  <c r="F684" i="150"/>
  <c r="F683" i="150"/>
  <c r="F682" i="150"/>
  <c r="F680" i="150"/>
  <c r="F679" i="150"/>
  <c r="F677" i="150"/>
  <c r="F676" i="150"/>
  <c r="F675" i="150"/>
  <c r="F674" i="150"/>
  <c r="F673" i="150"/>
  <c r="F657" i="150"/>
  <c r="F656" i="150"/>
  <c r="F655" i="150"/>
  <c r="F654" i="150"/>
  <c r="F653" i="150"/>
  <c r="F652" i="150"/>
  <c r="F651" i="150"/>
  <c r="F636" i="150"/>
  <c r="F635" i="150"/>
  <c r="F633" i="150"/>
  <c r="F632" i="150"/>
  <c r="F630" i="150"/>
  <c r="F629" i="150"/>
  <c r="F628" i="150"/>
  <c r="F626" i="150"/>
  <c r="F625" i="150"/>
  <c r="F624" i="150"/>
  <c r="F623" i="150"/>
  <c r="E622" i="150"/>
  <c r="F622" i="150" s="1"/>
  <c r="F620" i="150"/>
  <c r="F619" i="150"/>
  <c r="F617" i="150"/>
  <c r="F616" i="150"/>
  <c r="F614" i="150"/>
  <c r="F613" i="150"/>
  <c r="F612" i="150"/>
  <c r="F611" i="150"/>
  <c r="F595" i="150"/>
  <c r="F594" i="150"/>
  <c r="F592" i="150"/>
  <c r="F591" i="150"/>
  <c r="F589" i="150"/>
  <c r="F588" i="150"/>
  <c r="F587" i="150"/>
  <c r="F585" i="150"/>
  <c r="F584" i="150"/>
  <c r="F583" i="150"/>
  <c r="F582" i="150"/>
  <c r="E581" i="150"/>
  <c r="F581" i="150" s="1"/>
  <c r="F579" i="150"/>
  <c r="F578" i="150"/>
  <c r="F576" i="150"/>
  <c r="F575" i="150"/>
  <c r="F573" i="150"/>
  <c r="F572" i="150"/>
  <c r="F571" i="150"/>
  <c r="F570" i="150"/>
  <c r="F554" i="150"/>
  <c r="F553" i="150"/>
  <c r="F551" i="150"/>
  <c r="F550" i="150"/>
  <c r="F548" i="150"/>
  <c r="F547" i="150"/>
  <c r="F546" i="150"/>
  <c r="F544" i="150"/>
  <c r="F543" i="150"/>
  <c r="F542" i="150"/>
  <c r="F541" i="150"/>
  <c r="E540" i="150"/>
  <c r="F540" i="150" s="1"/>
  <c r="F538" i="150"/>
  <c r="F537" i="150"/>
  <c r="F535" i="150"/>
  <c r="F534" i="150"/>
  <c r="F532" i="150"/>
  <c r="F531" i="150"/>
  <c r="F530" i="150"/>
  <c r="F529" i="150"/>
  <c r="F513" i="150"/>
  <c r="F512" i="150"/>
  <c r="F510" i="150"/>
  <c r="F509" i="150"/>
  <c r="F507" i="150"/>
  <c r="F506" i="150"/>
  <c r="F505" i="150"/>
  <c r="F503" i="150"/>
  <c r="F502" i="150"/>
  <c r="F501" i="150"/>
  <c r="F500" i="150"/>
  <c r="E499" i="150"/>
  <c r="F499" i="150" s="1"/>
  <c r="F497" i="150"/>
  <c r="F496" i="150"/>
  <c r="F494" i="150"/>
  <c r="F493" i="150"/>
  <c r="F491" i="150"/>
  <c r="F490" i="150"/>
  <c r="F489" i="150"/>
  <c r="F488" i="150"/>
  <c r="F472" i="150"/>
  <c r="F471" i="150"/>
  <c r="F469" i="150"/>
  <c r="F468" i="150"/>
  <c r="F466" i="150"/>
  <c r="F465" i="150"/>
  <c r="F464" i="150"/>
  <c r="F462" i="150"/>
  <c r="F461" i="150"/>
  <c r="F460" i="150"/>
  <c r="F459" i="150"/>
  <c r="E458" i="150"/>
  <c r="F458" i="150" s="1"/>
  <c r="F456" i="150"/>
  <c r="F455" i="150"/>
  <c r="F453" i="150"/>
  <c r="F452" i="150"/>
  <c r="F450" i="150"/>
  <c r="F449" i="150"/>
  <c r="F448" i="150"/>
  <c r="F447" i="150"/>
  <c r="F431" i="150"/>
  <c r="F430" i="150"/>
  <c r="F428" i="150"/>
  <c r="F427" i="150"/>
  <c r="F425" i="150"/>
  <c r="F424" i="150"/>
  <c r="F423" i="150"/>
  <c r="F421" i="150"/>
  <c r="F420" i="150"/>
  <c r="F419" i="150"/>
  <c r="F418" i="150"/>
  <c r="E417" i="150"/>
  <c r="F417" i="150" s="1"/>
  <c r="F415" i="150"/>
  <c r="F414" i="150"/>
  <c r="F412" i="150"/>
  <c r="F411" i="150"/>
  <c r="F409" i="150"/>
  <c r="F408" i="150"/>
  <c r="F407" i="150"/>
  <c r="F406" i="150"/>
  <c r="F390" i="150"/>
  <c r="F389" i="150"/>
  <c r="F387" i="150"/>
  <c r="F386" i="150"/>
  <c r="F384" i="150"/>
  <c r="F383" i="150"/>
  <c r="F382" i="150"/>
  <c r="F380" i="150"/>
  <c r="F379" i="150"/>
  <c r="F378" i="150"/>
  <c r="F377" i="150"/>
  <c r="F376" i="150"/>
  <c r="F375" i="150"/>
  <c r="F374" i="150"/>
  <c r="E373" i="150"/>
  <c r="F373" i="150" s="1"/>
  <c r="F371" i="150"/>
  <c r="F370" i="150"/>
  <c r="F369" i="150"/>
  <c r="F367" i="150"/>
  <c r="F366" i="150"/>
  <c r="F364" i="150"/>
  <c r="F363" i="150"/>
  <c r="F362" i="150"/>
  <c r="F361" i="150"/>
  <c r="F360" i="150"/>
  <c r="F344" i="150"/>
  <c r="F343" i="150"/>
  <c r="F341" i="150"/>
  <c r="F340" i="150"/>
  <c r="F338" i="150"/>
  <c r="F337" i="150"/>
  <c r="F336" i="150"/>
  <c r="F334" i="150"/>
  <c r="F333" i="150"/>
  <c r="F332" i="150"/>
  <c r="F331" i="150"/>
  <c r="F330" i="150"/>
  <c r="F329" i="150"/>
  <c r="F328" i="150"/>
  <c r="F327" i="150"/>
  <c r="F325" i="150"/>
  <c r="F324" i="150"/>
  <c r="F323" i="150"/>
  <c r="F321" i="150"/>
  <c r="F320" i="150"/>
  <c r="F318" i="150"/>
  <c r="F317" i="150"/>
  <c r="F316" i="150"/>
  <c r="A316" i="150"/>
  <c r="A317" i="150" s="1"/>
  <c r="A318" i="150" s="1"/>
  <c r="A319" i="150" s="1"/>
  <c r="A320" i="150" s="1"/>
  <c r="A321" i="150" s="1"/>
  <c r="A322" i="150" s="1"/>
  <c r="A323" i="150" s="1"/>
  <c r="A324" i="150" s="1"/>
  <c r="A325" i="150" s="1"/>
  <c r="A326" i="150" s="1"/>
  <c r="A327" i="150" s="1"/>
  <c r="A328" i="150" s="1"/>
  <c r="A329" i="150" s="1"/>
  <c r="A330" i="150" s="1"/>
  <c r="A331" i="150" s="1"/>
  <c r="A332" i="150" s="1"/>
  <c r="A333" i="150" s="1"/>
  <c r="A334" i="150" s="1"/>
  <c r="A335" i="150" s="1"/>
  <c r="A336" i="150" s="1"/>
  <c r="A337" i="150" s="1"/>
  <c r="A338" i="150" s="1"/>
  <c r="A339" i="150" s="1"/>
  <c r="A340" i="150" s="1"/>
  <c r="A341" i="150" s="1"/>
  <c r="A342" i="150" s="1"/>
  <c r="A343" i="150" s="1"/>
  <c r="A344" i="150" s="1"/>
  <c r="F315" i="150"/>
  <c r="F299" i="150"/>
  <c r="F298" i="150"/>
  <c r="F296" i="150"/>
  <c r="F295" i="150"/>
  <c r="F293" i="150"/>
  <c r="F292" i="150"/>
  <c r="F291" i="150"/>
  <c r="F289" i="150"/>
  <c r="F288" i="150"/>
  <c r="F287" i="150"/>
  <c r="F286" i="150"/>
  <c r="F285" i="150"/>
  <c r="F284" i="150"/>
  <c r="F283" i="150"/>
  <c r="F282" i="150"/>
  <c r="F280" i="150"/>
  <c r="F279" i="150"/>
  <c r="F278" i="150"/>
  <c r="F277" i="150"/>
  <c r="F275" i="150"/>
  <c r="F274" i="150"/>
  <c r="F272" i="150"/>
  <c r="F271" i="150"/>
  <c r="F270" i="150"/>
  <c r="A270" i="150"/>
  <c r="A271" i="150" s="1"/>
  <c r="A272" i="150" s="1"/>
  <c r="A273" i="150" s="1"/>
  <c r="A274" i="150" s="1"/>
  <c r="A275" i="150" s="1"/>
  <c r="A276" i="150" s="1"/>
  <c r="A277" i="150" s="1"/>
  <c r="A278" i="150" s="1"/>
  <c r="A279" i="150" s="1"/>
  <c r="A280" i="150" s="1"/>
  <c r="A281" i="150" s="1"/>
  <c r="A282" i="150" s="1"/>
  <c r="A283" i="150" s="1"/>
  <c r="A284" i="150" s="1"/>
  <c r="A285" i="150" s="1"/>
  <c r="A286" i="150" s="1"/>
  <c r="A287" i="150" s="1"/>
  <c r="A288" i="150" s="1"/>
  <c r="A289" i="150" s="1"/>
  <c r="A290" i="150" s="1"/>
  <c r="A291" i="150" s="1"/>
  <c r="A292" i="150" s="1"/>
  <c r="A293" i="150" s="1"/>
  <c r="A294" i="150" s="1"/>
  <c r="A295" i="150" s="1"/>
  <c r="A296" i="150" s="1"/>
  <c r="A297" i="150" s="1"/>
  <c r="A298" i="150" s="1"/>
  <c r="A299" i="150" s="1"/>
  <c r="F269" i="150"/>
  <c r="F253" i="150"/>
  <c r="F252" i="150"/>
  <c r="F250" i="150"/>
  <c r="F249" i="150"/>
  <c r="F247" i="150"/>
  <c r="F246" i="150"/>
  <c r="F244" i="150"/>
  <c r="F243" i="150"/>
  <c r="F242" i="150"/>
  <c r="F241" i="150"/>
  <c r="F240" i="150"/>
  <c r="F239" i="150"/>
  <c r="F238" i="150"/>
  <c r="F237" i="150"/>
  <c r="F235" i="150"/>
  <c r="F234" i="150"/>
  <c r="F233" i="150"/>
  <c r="F232" i="150"/>
  <c r="F230" i="150"/>
  <c r="F229" i="150"/>
  <c r="F227" i="150"/>
  <c r="F226" i="150"/>
  <c r="F225" i="150"/>
  <c r="F224" i="150"/>
  <c r="F124" i="150"/>
  <c r="F123" i="150"/>
  <c r="F122" i="150"/>
  <c r="F121" i="150"/>
  <c r="F120" i="150"/>
  <c r="F119" i="150"/>
  <c r="F118" i="150"/>
  <c r="F114" i="150"/>
  <c r="F113" i="150"/>
  <c r="F112" i="150"/>
  <c r="F111" i="150"/>
  <c r="F107" i="150"/>
  <c r="F106" i="150"/>
  <c r="F105" i="150"/>
  <c r="F104" i="150"/>
  <c r="F103" i="150"/>
  <c r="F102" i="150"/>
  <c r="F101" i="150"/>
  <c r="F100" i="150"/>
  <c r="F99" i="150"/>
  <c r="F98" i="150"/>
  <c r="F97" i="150"/>
  <c r="F96" i="150"/>
  <c r="F95" i="150"/>
  <c r="F94" i="150"/>
  <c r="F93" i="150"/>
  <c r="F92" i="150"/>
  <c r="F89" i="150"/>
  <c r="F88" i="150"/>
  <c r="F87" i="150"/>
  <c r="F86" i="150"/>
  <c r="F85" i="150"/>
  <c r="E53" i="150"/>
  <c r="F53" i="150" s="1"/>
  <c r="F72" i="150" l="1"/>
  <c r="F73" i="150" s="1"/>
  <c r="F658" i="150"/>
  <c r="F257" i="151"/>
  <c r="F312" i="151"/>
  <c r="F314" i="151" s="1"/>
  <c r="F428" i="151"/>
  <c r="F200" i="151"/>
  <c r="F93" i="151"/>
  <c r="F95" i="151" s="1"/>
  <c r="F141" i="151"/>
  <c r="F370" i="151"/>
  <c r="F370" i="152"/>
  <c r="F403" i="152"/>
  <c r="F452" i="152"/>
  <c r="F454" i="152"/>
  <c r="F455" i="152" s="1"/>
  <c r="F453" i="152"/>
  <c r="F259" i="151"/>
  <c r="F703" i="150"/>
  <c r="F345" i="150"/>
  <c r="F347" i="150" s="1"/>
  <c r="F348" i="150" s="1"/>
  <c r="F473" i="150"/>
  <c r="F596" i="150"/>
  <c r="F432" i="150"/>
  <c r="F434" i="150" s="1"/>
  <c r="F436" i="150" s="1"/>
  <c r="F514" i="150"/>
  <c r="F516" i="150" s="1"/>
  <c r="F518" i="150" s="1"/>
  <c r="F555" i="150"/>
  <c r="F637" i="150"/>
  <c r="F639" i="150" s="1"/>
  <c r="F642" i="150" s="1"/>
  <c r="F644" i="150" s="1"/>
  <c r="F193" i="150"/>
  <c r="F254" i="150"/>
  <c r="F256" i="150" s="1"/>
  <c r="F300" i="150"/>
  <c r="F391" i="150"/>
  <c r="F448" i="1"/>
  <c r="F517" i="150"/>
  <c r="F125" i="150"/>
  <c r="F197" i="150"/>
  <c r="F505" i="1"/>
  <c r="F507" i="1" s="1"/>
  <c r="F510" i="1" s="1"/>
  <c r="F512" i="1" s="1"/>
  <c r="F386" i="1"/>
  <c r="F389" i="1" s="1"/>
  <c r="F392" i="1" s="1"/>
  <c r="F394" i="1" s="1"/>
  <c r="F292" i="1"/>
  <c r="F342" i="1"/>
  <c r="F345" i="1" s="1"/>
  <c r="F348" i="1" s="1"/>
  <c r="F350" i="1" s="1"/>
  <c r="F232" i="1"/>
  <c r="F185" i="1"/>
  <c r="F146" i="1"/>
  <c r="F102" i="1"/>
  <c r="F47" i="1"/>
  <c r="F350" i="150"/>
  <c r="F352" i="150" s="1"/>
  <c r="F257" i="150"/>
  <c r="F15" i="151"/>
  <c r="F18" i="151"/>
  <c r="F156" i="150"/>
  <c r="F165" i="150" s="1"/>
  <c r="F179" i="150"/>
  <c r="F184" i="150"/>
  <c r="F108" i="150"/>
  <c r="F115" i="150"/>
  <c r="F90" i="150"/>
  <c r="F322" i="147"/>
  <c r="F319" i="147"/>
  <c r="F316" i="147"/>
  <c r="F313" i="147"/>
  <c r="F312" i="147"/>
  <c r="F311" i="147"/>
  <c r="F310" i="147"/>
  <c r="F309" i="147"/>
  <c r="F308" i="147"/>
  <c r="F307" i="147"/>
  <c r="F306" i="147"/>
  <c r="F305" i="147"/>
  <c r="F304" i="147"/>
  <c r="F302" i="147"/>
  <c r="F301" i="147"/>
  <c r="F300" i="147"/>
  <c r="F299" i="147"/>
  <c r="F298" i="147"/>
  <c r="F297" i="147"/>
  <c r="F296" i="147"/>
  <c r="F295" i="147"/>
  <c r="F294" i="147"/>
  <c r="F293" i="147"/>
  <c r="F292" i="147"/>
  <c r="F289" i="147"/>
  <c r="F288" i="147"/>
  <c r="F287" i="147"/>
  <c r="F286" i="147"/>
  <c r="F285" i="147"/>
  <c r="F284" i="147"/>
  <c r="E283" i="147"/>
  <c r="F283" i="147" s="1"/>
  <c r="E282" i="147"/>
  <c r="F282" i="147" s="1"/>
  <c r="F281" i="147"/>
  <c r="F280" i="147"/>
  <c r="F279" i="147"/>
  <c r="F278" i="147"/>
  <c r="F275" i="147"/>
  <c r="F274" i="147"/>
  <c r="F273" i="147"/>
  <c r="F272" i="147"/>
  <c r="F271" i="147"/>
  <c r="F256" i="147"/>
  <c r="F255" i="147"/>
  <c r="F253" i="147"/>
  <c r="F252" i="147"/>
  <c r="F250" i="147"/>
  <c r="F249" i="147"/>
  <c r="F248" i="147"/>
  <c r="F246" i="147"/>
  <c r="F245" i="147"/>
  <c r="F244" i="147"/>
  <c r="F243" i="147"/>
  <c r="F242" i="147"/>
  <c r="F241" i="147"/>
  <c r="F239" i="147"/>
  <c r="F238" i="147"/>
  <c r="F237" i="147"/>
  <c r="F235" i="147"/>
  <c r="F234" i="147"/>
  <c r="F232" i="147"/>
  <c r="F231" i="147"/>
  <c r="F230" i="147"/>
  <c r="F229" i="147"/>
  <c r="F213" i="147"/>
  <c r="F212" i="147"/>
  <c r="F210" i="147"/>
  <c r="F209" i="147"/>
  <c r="F207" i="147"/>
  <c r="F206" i="147"/>
  <c r="F205" i="147"/>
  <c r="F203" i="147"/>
  <c r="F202" i="147"/>
  <c r="F201" i="147"/>
  <c r="F199" i="147"/>
  <c r="F198" i="147"/>
  <c r="F197" i="147"/>
  <c r="F195" i="147"/>
  <c r="F194" i="147"/>
  <c r="F192" i="147"/>
  <c r="F191" i="147"/>
  <c r="F190" i="147"/>
  <c r="F189" i="147"/>
  <c r="F174" i="147"/>
  <c r="F173" i="147"/>
  <c r="F171" i="147"/>
  <c r="F170" i="147"/>
  <c r="F168" i="147"/>
  <c r="F167" i="147"/>
  <c r="F166" i="147"/>
  <c r="F164" i="147"/>
  <c r="F163" i="147"/>
  <c r="F162" i="147"/>
  <c r="F161" i="147"/>
  <c r="E160" i="147"/>
  <c r="F160" i="147" s="1"/>
  <c r="E159" i="147"/>
  <c r="F159" i="147" s="1"/>
  <c r="F157" i="147"/>
  <c r="F156" i="147"/>
  <c r="F155" i="147"/>
  <c r="F153" i="147"/>
  <c r="F152" i="147"/>
  <c r="F150" i="147"/>
  <c r="F149" i="147"/>
  <c r="F148" i="147"/>
  <c r="F132" i="147"/>
  <c r="F130" i="147"/>
  <c r="F127" i="147"/>
  <c r="D123" i="147"/>
  <c r="F123" i="147" s="1"/>
  <c r="F121" i="147"/>
  <c r="F120" i="147"/>
  <c r="F119" i="147"/>
  <c r="F118" i="147"/>
  <c r="F117" i="147"/>
  <c r="F115" i="147"/>
  <c r="F114" i="147"/>
  <c r="F113" i="147"/>
  <c r="F112" i="147"/>
  <c r="F110" i="147"/>
  <c r="F109" i="147"/>
  <c r="D108" i="147"/>
  <c r="F108" i="147" s="1"/>
  <c r="F107" i="147"/>
  <c r="F105" i="147"/>
  <c r="D102" i="147"/>
  <c r="D100" i="147"/>
  <c r="D103" i="147" s="1"/>
  <c r="F103" i="147" s="1"/>
  <c r="D99" i="147"/>
  <c r="F99" i="147" s="1"/>
  <c r="F97" i="147"/>
  <c r="D96" i="147"/>
  <c r="F96" i="147" s="1"/>
  <c r="F95" i="147"/>
  <c r="D94" i="147"/>
  <c r="F94" i="147" s="1"/>
  <c r="F79" i="147"/>
  <c r="F77" i="147"/>
  <c r="F75" i="147"/>
  <c r="F71" i="147"/>
  <c r="F70" i="147"/>
  <c r="D69" i="147"/>
  <c r="F69" i="147" s="1"/>
  <c r="F68" i="147"/>
  <c r="D66" i="147"/>
  <c r="D73" i="147" s="1"/>
  <c r="F73" i="147" s="1"/>
  <c r="F63" i="147"/>
  <c r="F61" i="147"/>
  <c r="F60" i="147"/>
  <c r="D59" i="147"/>
  <c r="F59" i="147" s="1"/>
  <c r="F57" i="147"/>
  <c r="D56" i="147"/>
  <c r="F56" i="147" s="1"/>
  <c r="F54" i="147"/>
  <c r="F52" i="147"/>
  <c r="F51" i="147"/>
  <c r="D50" i="147"/>
  <c r="F50" i="147" s="1"/>
  <c r="D49" i="147"/>
  <c r="F49" i="147" s="1"/>
  <c r="D48" i="147"/>
  <c r="F48" i="147" s="1"/>
  <c r="F32" i="147"/>
  <c r="F28" i="147"/>
  <c r="F27" i="147"/>
  <c r="F26" i="147"/>
  <c r="D25" i="147"/>
  <c r="F25" i="147" s="1"/>
  <c r="D23" i="147"/>
  <c r="D30" i="147" s="1"/>
  <c r="F30" i="147" s="1"/>
  <c r="F20" i="147"/>
  <c r="F18" i="147"/>
  <c r="D16" i="147"/>
  <c r="F16" i="147" s="1"/>
  <c r="F14" i="147"/>
  <c r="F13" i="147"/>
  <c r="F12" i="147"/>
  <c r="F11" i="147"/>
  <c r="F309" i="152"/>
  <c r="F310" i="152"/>
  <c r="F311" i="152"/>
  <c r="F313" i="152"/>
  <c r="F314" i="152"/>
  <c r="F316" i="152"/>
  <c r="F317" i="152"/>
  <c r="F318" i="152"/>
  <c r="F320" i="152"/>
  <c r="F321" i="152"/>
  <c r="F322" i="152"/>
  <c r="F324" i="152"/>
  <c r="F325" i="152"/>
  <c r="F326" i="152"/>
  <c r="F328" i="152"/>
  <c r="F329" i="152"/>
  <c r="F331" i="152"/>
  <c r="F332" i="152"/>
  <c r="F308" i="152"/>
  <c r="F291" i="152"/>
  <c r="F290" i="152"/>
  <c r="F288" i="152"/>
  <c r="F287" i="152"/>
  <c r="F285" i="152"/>
  <c r="F284" i="152"/>
  <c r="F283" i="152"/>
  <c r="F282" i="152"/>
  <c r="F281" i="152"/>
  <c r="F280" i="152"/>
  <c r="F279" i="152"/>
  <c r="F278" i="152"/>
  <c r="F277" i="152"/>
  <c r="F275" i="152"/>
  <c r="F274" i="152"/>
  <c r="F272" i="152"/>
  <c r="F271" i="152"/>
  <c r="F269" i="152"/>
  <c r="F268" i="152"/>
  <c r="F267" i="152"/>
  <c r="F266" i="152"/>
  <c r="F249" i="152"/>
  <c r="F248" i="152"/>
  <c r="F246" i="152"/>
  <c r="F245" i="152"/>
  <c r="F243" i="152"/>
  <c r="F242" i="152"/>
  <c r="F241" i="152"/>
  <c r="F239" i="152"/>
  <c r="F238" i="152"/>
  <c r="F237" i="152"/>
  <c r="F236" i="152"/>
  <c r="E235" i="152"/>
  <c r="F235" i="152" s="1"/>
  <c r="F233" i="152"/>
  <c r="F232" i="152"/>
  <c r="F230" i="152"/>
  <c r="F229" i="152"/>
  <c r="A228" i="152"/>
  <c r="A229" i="152" s="1"/>
  <c r="A230" i="152" s="1"/>
  <c r="A231" i="152" s="1"/>
  <c r="A232" i="152" s="1"/>
  <c r="A233" i="152" s="1"/>
  <c r="A234" i="152" s="1"/>
  <c r="A235" i="152" s="1"/>
  <c r="A236" i="152" s="1"/>
  <c r="A237" i="152" s="1"/>
  <c r="A238" i="152" s="1"/>
  <c r="A239" i="152" s="1"/>
  <c r="A240" i="152" s="1"/>
  <c r="A241" i="152" s="1"/>
  <c r="A242" i="152" s="1"/>
  <c r="A243" i="152" s="1"/>
  <c r="A244" i="152" s="1"/>
  <c r="A245" i="152" s="1"/>
  <c r="A246" i="152" s="1"/>
  <c r="A247" i="152" s="1"/>
  <c r="A248" i="152" s="1"/>
  <c r="A249" i="152" s="1"/>
  <c r="F227" i="152"/>
  <c r="F210" i="152"/>
  <c r="F209" i="152"/>
  <c r="F207" i="152"/>
  <c r="F206" i="152"/>
  <c r="F204" i="152"/>
  <c r="F203" i="152"/>
  <c r="F202" i="152"/>
  <c r="F200" i="152"/>
  <c r="F199" i="152"/>
  <c r="F198" i="152"/>
  <c r="F197" i="152"/>
  <c r="E196" i="152"/>
  <c r="F196" i="152" s="1"/>
  <c r="F194" i="152"/>
  <c r="F193" i="152"/>
  <c r="F191" i="152"/>
  <c r="F190" i="152"/>
  <c r="A190" i="152"/>
  <c r="A191" i="152" s="1"/>
  <c r="A192" i="152" s="1"/>
  <c r="A193" i="152" s="1"/>
  <c r="A194" i="152" s="1"/>
  <c r="A195" i="152" s="1"/>
  <c r="A196" i="152" s="1"/>
  <c r="A197" i="152" s="1"/>
  <c r="A198" i="152" s="1"/>
  <c r="A199" i="152" s="1"/>
  <c r="A200" i="152" s="1"/>
  <c r="A201" i="152" s="1"/>
  <c r="A202" i="152" s="1"/>
  <c r="A203" i="152" s="1"/>
  <c r="A204" i="152" s="1"/>
  <c r="A205" i="152" s="1"/>
  <c r="A206" i="152" s="1"/>
  <c r="A207" i="152" s="1"/>
  <c r="A208" i="152" s="1"/>
  <c r="A209" i="152" s="1"/>
  <c r="A210" i="152" s="1"/>
  <c r="A189" i="152"/>
  <c r="F188" i="152"/>
  <c r="F171" i="152"/>
  <c r="F170" i="152"/>
  <c r="F168" i="152"/>
  <c r="F167" i="152"/>
  <c r="F165" i="152"/>
  <c r="F164" i="152"/>
  <c r="F163" i="152"/>
  <c r="F161" i="152"/>
  <c r="F160" i="152"/>
  <c r="F159" i="152"/>
  <c r="F158" i="152"/>
  <c r="E157" i="152"/>
  <c r="F157" i="152" s="1"/>
  <c r="F155" i="152"/>
  <c r="F154" i="152"/>
  <c r="F152" i="152"/>
  <c r="F151" i="152"/>
  <c r="A150" i="152"/>
  <c r="A151" i="152" s="1"/>
  <c r="A152" i="152" s="1"/>
  <c r="A153" i="152" s="1"/>
  <c r="A154" i="152" s="1"/>
  <c r="A155" i="152" s="1"/>
  <c r="A156" i="152" s="1"/>
  <c r="A157" i="152" s="1"/>
  <c r="A158" i="152" s="1"/>
  <c r="A159" i="152" s="1"/>
  <c r="A160" i="152" s="1"/>
  <c r="A161" i="152" s="1"/>
  <c r="A162" i="152" s="1"/>
  <c r="A163" i="152" s="1"/>
  <c r="A164" i="152" s="1"/>
  <c r="A165" i="152" s="1"/>
  <c r="A166" i="152" s="1"/>
  <c r="A167" i="152" s="1"/>
  <c r="A168" i="152" s="1"/>
  <c r="A169" i="152" s="1"/>
  <c r="A170" i="152" s="1"/>
  <c r="A171" i="152" s="1"/>
  <c r="F149" i="152"/>
  <c r="F131" i="152"/>
  <c r="F130" i="152"/>
  <c r="F129" i="152"/>
  <c r="F128" i="152"/>
  <c r="F127" i="152"/>
  <c r="F125" i="152"/>
  <c r="F124" i="152"/>
  <c r="F123" i="152"/>
  <c r="F121" i="152"/>
  <c r="F120" i="152"/>
  <c r="F119" i="152"/>
  <c r="F118" i="152"/>
  <c r="F117" i="152"/>
  <c r="F116" i="152"/>
  <c r="F115" i="152"/>
  <c r="E114" i="152"/>
  <c r="F114" i="152" s="1"/>
  <c r="F112" i="152"/>
  <c r="F111" i="152"/>
  <c r="F110" i="152"/>
  <c r="F109" i="152"/>
  <c r="F107" i="152"/>
  <c r="F106" i="152"/>
  <c r="F105" i="152"/>
  <c r="F104" i="152"/>
  <c r="F103" i="152"/>
  <c r="F102" i="152"/>
  <c r="F101" i="152"/>
  <c r="F84" i="152"/>
  <c r="F82" i="152"/>
  <c r="F81" i="152"/>
  <c r="A80" i="152"/>
  <c r="A81" i="152" s="1"/>
  <c r="A82" i="152" s="1"/>
  <c r="A83" i="152" s="1"/>
  <c r="A84" i="152" s="1"/>
  <c r="F79" i="152"/>
  <c r="F78" i="152"/>
  <c r="F77" i="152"/>
  <c r="F76" i="152"/>
  <c r="F74" i="152"/>
  <c r="F73" i="152"/>
  <c r="F72" i="152"/>
  <c r="F71" i="152"/>
  <c r="F70" i="152"/>
  <c r="F69" i="152"/>
  <c r="F68" i="152"/>
  <c r="E67" i="152"/>
  <c r="F67" i="152" s="1"/>
  <c r="F65" i="152"/>
  <c r="F64" i="152"/>
  <c r="F63" i="152"/>
  <c r="F62" i="152"/>
  <c r="F61" i="152"/>
  <c r="F60" i="152"/>
  <c r="F58" i="152"/>
  <c r="F57" i="152"/>
  <c r="F56" i="152"/>
  <c r="F55" i="152"/>
  <c r="F54" i="152"/>
  <c r="F38" i="152"/>
  <c r="F36" i="152"/>
  <c r="F35" i="152"/>
  <c r="F33" i="152"/>
  <c r="F32" i="152"/>
  <c r="F31" i="152"/>
  <c r="F30" i="152"/>
  <c r="F28" i="152"/>
  <c r="F27" i="152"/>
  <c r="F26" i="152"/>
  <c r="F25" i="152"/>
  <c r="F24" i="152"/>
  <c r="F23" i="152"/>
  <c r="F22" i="152"/>
  <c r="E21" i="152"/>
  <c r="F21" i="152" s="1"/>
  <c r="F19" i="152"/>
  <c r="F18" i="152"/>
  <c r="F17" i="152"/>
  <c r="F15" i="152"/>
  <c r="F14" i="152"/>
  <c r="F12" i="152"/>
  <c r="F11" i="152"/>
  <c r="F10" i="152"/>
  <c r="F9" i="152"/>
  <c r="F8" i="152"/>
  <c r="D517" i="1" l="1"/>
  <c r="F76" i="150"/>
  <c r="F77" i="150" s="1"/>
  <c r="F75" i="150"/>
  <c r="F74" i="150"/>
  <c r="F78" i="150" s="1"/>
  <c r="D124" i="147"/>
  <c r="F124" i="147" s="1"/>
  <c r="F168" i="150"/>
  <c r="F169" i="150" s="1"/>
  <c r="F166" i="150"/>
  <c r="F167" i="150"/>
  <c r="F321" i="147"/>
  <c r="F148" i="1"/>
  <c r="F149" i="1" s="1"/>
  <c r="F295" i="1"/>
  <c r="F297" i="1" s="1"/>
  <c r="F258" i="150"/>
  <c r="F260" i="150" s="1"/>
  <c r="F262" i="150" s="1"/>
  <c r="F475" i="150"/>
  <c r="F477" i="150" s="1"/>
  <c r="F49" i="1"/>
  <c r="F51" i="1" s="1"/>
  <c r="F187" i="1"/>
  <c r="F188" i="1" s="1"/>
  <c r="F450" i="1"/>
  <c r="F453" i="1" s="1"/>
  <c r="F455" i="1" s="1"/>
  <c r="F97" i="151"/>
  <c r="F96" i="151"/>
  <c r="F99" i="151" s="1"/>
  <c r="F98" i="151"/>
  <c r="F100" i="151" s="1"/>
  <c r="F202" i="151"/>
  <c r="F315" i="151"/>
  <c r="F317" i="151"/>
  <c r="F319" i="151" s="1"/>
  <c r="F316" i="151"/>
  <c r="F315" i="147"/>
  <c r="F234" i="1"/>
  <c r="F237" i="1" s="1"/>
  <c r="F239" i="1" s="1"/>
  <c r="F509" i="1"/>
  <c r="F393" i="150"/>
  <c r="F396" i="150" s="1"/>
  <c r="F398" i="150" s="1"/>
  <c r="F29" i="150"/>
  <c r="F30" i="150" s="1"/>
  <c r="F704" i="150"/>
  <c r="F707" i="150" s="1"/>
  <c r="F709" i="150" s="1"/>
  <c r="F456" i="152"/>
  <c r="F372" i="151"/>
  <c r="F48" i="151"/>
  <c r="F50" i="151" s="1"/>
  <c r="F214" i="147"/>
  <c r="F318" i="147"/>
  <c r="F104" i="1"/>
  <c r="F107" i="1" s="1"/>
  <c r="F109" i="1" s="1"/>
  <c r="F508" i="1"/>
  <c r="F302" i="150"/>
  <c r="F305" i="150" s="1"/>
  <c r="F557" i="150"/>
  <c r="F598" i="150"/>
  <c r="F599" i="150" s="1"/>
  <c r="F143" i="151"/>
  <c r="F430" i="151"/>
  <c r="F333" i="152"/>
  <c r="D462" i="152"/>
  <c r="F371" i="152"/>
  <c r="F132" i="152"/>
  <c r="F172" i="152"/>
  <c r="F404" i="152"/>
  <c r="F39" i="152"/>
  <c r="F250" i="152"/>
  <c r="F85" i="152"/>
  <c r="F292" i="152"/>
  <c r="F211" i="152"/>
  <c r="F261" i="151"/>
  <c r="F260" i="151"/>
  <c r="F262" i="151"/>
  <c r="F264" i="151" s="1"/>
  <c r="F175" i="147"/>
  <c r="F257" i="147"/>
  <c r="F170" i="150"/>
  <c r="F641" i="150"/>
  <c r="F303" i="150"/>
  <c r="F601" i="150"/>
  <c r="F603" i="150" s="1"/>
  <c r="F27" i="150"/>
  <c r="F28" i="150"/>
  <c r="F395" i="150"/>
  <c r="F394" i="150"/>
  <c r="F437" i="150"/>
  <c r="F439" i="150" s="1"/>
  <c r="F349" i="150"/>
  <c r="F351" i="150" s="1"/>
  <c r="F435" i="150"/>
  <c r="F307" i="150"/>
  <c r="F259" i="150"/>
  <c r="F261" i="150" s="1"/>
  <c r="F640" i="150"/>
  <c r="F643" i="150" s="1"/>
  <c r="F519" i="150"/>
  <c r="F521" i="150" s="1"/>
  <c r="F451" i="1"/>
  <c r="F127" i="150"/>
  <c r="F131" i="150" s="1"/>
  <c r="F132" i="150" s="1"/>
  <c r="F190" i="1"/>
  <c r="F192" i="1" s="1"/>
  <c r="F391" i="1"/>
  <c r="F390" i="1"/>
  <c r="F347" i="1"/>
  <c r="F346" i="1"/>
  <c r="F303" i="147"/>
  <c r="F212" i="150"/>
  <c r="F277" i="147"/>
  <c r="F270" i="147"/>
  <c r="F102" i="147"/>
  <c r="F291" i="147"/>
  <c r="F130" i="150"/>
  <c r="D125" i="147"/>
  <c r="F100" i="147"/>
  <c r="F66" i="147"/>
  <c r="F65" i="147"/>
  <c r="F23" i="147"/>
  <c r="D22" i="147"/>
  <c r="F22" i="147" s="1"/>
  <c r="F318" i="151" l="1"/>
  <c r="F320" i="151" s="1"/>
  <c r="F50" i="1"/>
  <c r="F511" i="1"/>
  <c r="F513" i="1" s="1"/>
  <c r="D518" i="1" s="1"/>
  <c r="F452" i="1"/>
  <c r="F52" i="1"/>
  <c r="F54" i="1" s="1"/>
  <c r="F150" i="1"/>
  <c r="F235" i="1"/>
  <c r="F296" i="1"/>
  <c r="F106" i="1"/>
  <c r="F298" i="1"/>
  <c r="F300" i="1" s="1"/>
  <c r="F236" i="1"/>
  <c r="F189" i="1"/>
  <c r="F105" i="1"/>
  <c r="F151" i="1"/>
  <c r="F153" i="1" s="1"/>
  <c r="F705" i="150"/>
  <c r="F600" i="150"/>
  <c r="F602" i="150" s="1"/>
  <c r="F706" i="150"/>
  <c r="F478" i="150"/>
  <c r="F480" i="150" s="1"/>
  <c r="F476" i="150"/>
  <c r="F31" i="150"/>
  <c r="E713" i="150" s="1"/>
  <c r="F304" i="150"/>
  <c r="F306" i="150" s="1"/>
  <c r="F308" i="150" s="1"/>
  <c r="F80" i="147"/>
  <c r="F101" i="151"/>
  <c r="F33" i="147"/>
  <c r="F454" i="1"/>
  <c r="F438" i="150"/>
  <c r="F397" i="150"/>
  <c r="F259" i="147"/>
  <c r="F262" i="147" s="1"/>
  <c r="F264" i="147" s="1"/>
  <c r="F375" i="151"/>
  <c r="F377" i="151" s="1"/>
  <c r="F373" i="151"/>
  <c r="F374" i="151"/>
  <c r="F205" i="151"/>
  <c r="F207" i="151" s="1"/>
  <c r="F204" i="151"/>
  <c r="F203" i="151"/>
  <c r="F353" i="150"/>
  <c r="F216" i="147"/>
  <c r="F177" i="147"/>
  <c r="F178" i="147" s="1"/>
  <c r="F146" i="151"/>
  <c r="F148" i="151" s="1"/>
  <c r="F144" i="151"/>
  <c r="F145" i="151"/>
  <c r="F52" i="151"/>
  <c r="F53" i="151"/>
  <c r="F55" i="151" s="1"/>
  <c r="F51" i="151"/>
  <c r="F129" i="150"/>
  <c r="F432" i="151"/>
  <c r="F431" i="151"/>
  <c r="F433" i="151"/>
  <c r="F435" i="151" s="1"/>
  <c r="F559" i="150"/>
  <c r="F558" i="150"/>
  <c r="F560" i="150"/>
  <c r="F562" i="150" s="1"/>
  <c r="F295" i="152"/>
  <c r="F253" i="152"/>
  <c r="F372" i="152"/>
  <c r="F374" i="152"/>
  <c r="F376" i="152" s="1"/>
  <c r="F373" i="152"/>
  <c r="F336" i="152"/>
  <c r="F407" i="152"/>
  <c r="F408" i="152" s="1"/>
  <c r="F405" i="152"/>
  <c r="F409" i="152" s="1"/>
  <c r="F406" i="152"/>
  <c r="F135" i="152"/>
  <c r="F214" i="152"/>
  <c r="F87" i="152"/>
  <c r="F175" i="152"/>
  <c r="F41" i="152"/>
  <c r="D461" i="152"/>
  <c r="F263" i="151"/>
  <c r="F180" i="147"/>
  <c r="F182" i="147" s="1"/>
  <c r="F260" i="147"/>
  <c r="F261" i="147"/>
  <c r="F708" i="150"/>
  <c r="F520" i="150"/>
  <c r="F213" i="150"/>
  <c r="F214" i="150"/>
  <c r="F215" i="150"/>
  <c r="F216" i="150" s="1"/>
  <c r="F133" i="150"/>
  <c r="F393" i="1"/>
  <c r="F191" i="1"/>
  <c r="F108" i="1"/>
  <c r="F349" i="1"/>
  <c r="F645" i="150"/>
  <c r="F324" i="147"/>
  <c r="D128" i="147"/>
  <c r="F128" i="147" s="1"/>
  <c r="F125" i="147"/>
  <c r="F54" i="151" l="1"/>
  <c r="F206" i="151"/>
  <c r="F208" i="151" s="1"/>
  <c r="F238" i="1"/>
  <c r="F240" i="1" s="1"/>
  <c r="F299" i="1"/>
  <c r="F53" i="1"/>
  <c r="F152" i="1"/>
  <c r="F179" i="147"/>
  <c r="F479" i="150"/>
  <c r="F481" i="150" s="1"/>
  <c r="F434" i="151"/>
  <c r="F147" i="151"/>
  <c r="F82" i="147"/>
  <c r="F85" i="147" s="1"/>
  <c r="F87" i="147" s="1"/>
  <c r="F181" i="147"/>
  <c r="F301" i="1"/>
  <c r="F604" i="150"/>
  <c r="F133" i="147"/>
  <c r="F56" i="151"/>
  <c r="F149" i="151"/>
  <c r="F376" i="151"/>
  <c r="F399" i="150"/>
  <c r="F35" i="147"/>
  <c r="D442" i="151"/>
  <c r="F110" i="1"/>
  <c r="F154" i="1"/>
  <c r="F55" i="1"/>
  <c r="F193" i="1"/>
  <c r="F522" i="150"/>
  <c r="F375" i="152"/>
  <c r="F377" i="152" s="1"/>
  <c r="F217" i="147"/>
  <c r="F218" i="147"/>
  <c r="F219" i="147"/>
  <c r="F221" i="147" s="1"/>
  <c r="F440" i="150"/>
  <c r="F351" i="1"/>
  <c r="F326" i="147"/>
  <c r="F395" i="1"/>
  <c r="D519" i="1" s="1"/>
  <c r="D521" i="1" s="1"/>
  <c r="F710" i="150"/>
  <c r="F265" i="151"/>
  <c r="F561" i="150"/>
  <c r="F456" i="1"/>
  <c r="F339" i="152"/>
  <c r="F341" i="152" s="1"/>
  <c r="F338" i="152"/>
  <c r="F337" i="152"/>
  <c r="F296" i="152"/>
  <c r="F299" i="152" s="1"/>
  <c r="F297" i="152"/>
  <c r="F298" i="152"/>
  <c r="F300" i="152" s="1"/>
  <c r="F216" i="152"/>
  <c r="F215" i="152"/>
  <c r="F218" i="152" s="1"/>
  <c r="F217" i="152"/>
  <c r="F219" i="152" s="1"/>
  <c r="F177" i="152"/>
  <c r="F176" i="152"/>
  <c r="F178" i="152"/>
  <c r="F180" i="152" s="1"/>
  <c r="F89" i="152"/>
  <c r="F88" i="152"/>
  <c r="F90" i="152"/>
  <c r="F92" i="152" s="1"/>
  <c r="F137" i="152"/>
  <c r="F138" i="152"/>
  <c r="F140" i="152" s="1"/>
  <c r="F136" i="152"/>
  <c r="F254" i="152"/>
  <c r="F256" i="152"/>
  <c r="F258" i="152" s="1"/>
  <c r="F255" i="152"/>
  <c r="F44" i="152"/>
  <c r="F46" i="152" s="1"/>
  <c r="F42" i="152"/>
  <c r="F43" i="152"/>
  <c r="D465" i="152"/>
  <c r="F263" i="147"/>
  <c r="F217" i="150"/>
  <c r="F660" i="150"/>
  <c r="F325" i="147"/>
  <c r="F327" i="147"/>
  <c r="F328" i="147" s="1"/>
  <c r="F257" i="152" l="1"/>
  <c r="F259" i="152" s="1"/>
  <c r="F436" i="151"/>
  <c r="F83" i="147"/>
  <c r="F86" i="147" s="1"/>
  <c r="F84" i="147"/>
  <c r="F183" i="147"/>
  <c r="F220" i="147"/>
  <c r="D441" i="151"/>
  <c r="F340" i="152"/>
  <c r="F342" i="152" s="1"/>
  <c r="F36" i="147"/>
  <c r="F37" i="147"/>
  <c r="F38" i="147"/>
  <c r="F40" i="147" s="1"/>
  <c r="F222" i="147"/>
  <c r="F378" i="151"/>
  <c r="F563" i="150"/>
  <c r="F265" i="147"/>
  <c r="F334" i="147" s="1"/>
  <c r="F91" i="152"/>
  <c r="F93" i="152" s="1"/>
  <c r="F135" i="147"/>
  <c r="F179" i="152"/>
  <c r="F220" i="152"/>
  <c r="F301" i="152"/>
  <c r="F139" i="152"/>
  <c r="F45" i="152"/>
  <c r="F329" i="147"/>
  <c r="E714" i="150"/>
  <c r="F662" i="150"/>
  <c r="F663" i="150"/>
  <c r="F665" i="150" s="1"/>
  <c r="F661" i="150"/>
  <c r="F88" i="147" l="1"/>
  <c r="F39" i="147"/>
  <c r="D445" i="151"/>
  <c r="F138" i="147"/>
  <c r="F140" i="147" s="1"/>
  <c r="F136" i="147"/>
  <c r="F137" i="147"/>
  <c r="F181" i="152"/>
  <c r="F141" i="152"/>
  <c r="F47" i="152"/>
  <c r="F331" i="147"/>
  <c r="F664" i="150"/>
  <c r="F666" i="150" l="1"/>
  <c r="E715" i="150" s="1"/>
  <c r="E717" i="150" s="1"/>
  <c r="F335" i="147"/>
  <c r="F139" i="147"/>
  <c r="F41" i="147"/>
  <c r="F336" i="147"/>
  <c r="F141" i="147" l="1"/>
</calcChain>
</file>

<file path=xl/sharedStrings.xml><?xml version="1.0" encoding="utf-8"?>
<sst xmlns="http://schemas.openxmlformats.org/spreadsheetml/2006/main" count="4377" uniqueCount="794">
  <si>
    <t xml:space="preserve"> </t>
  </si>
  <si>
    <t>TOTAL</t>
  </si>
  <si>
    <t>Reposición de alcantarillado en la calle 6 entre carreras 5 a la 6 en el municipio de Chinchina Caldas</t>
  </si>
  <si>
    <t>Reposición de alcantarillado en la calle 6 entre carreras  8 y  9 en el municipio de Chinchina Caldas</t>
  </si>
  <si>
    <t>Reposición de alcantarillado en la calle 12 entre carreras 8 y 9 en el municipio de Chinchina Caldas</t>
  </si>
  <si>
    <t>Cambio red acueducto en la calle 5 entre carreras 5 y 6 en el municipio de Chinchina Caldas</t>
  </si>
  <si>
    <t>Cambio red acueducto en la calle 6 entre carreras  5 y 6 en el municipio de Chinchina Caldas</t>
  </si>
  <si>
    <t>Cambio red acueducto en la calle 6 entre carreras 8 y 9  en el municipio de Chinchina Caldas</t>
  </si>
  <si>
    <t>Cambio red acueducto en la calle 12 entre carreras 8 y 9 en el municipio de Chinchina Caldas</t>
  </si>
  <si>
    <t>Cambio red acueducto en la calle 11 entre carreras 6 y 7 en el municipio de Chinchina Caldas</t>
  </si>
  <si>
    <t xml:space="preserve">DESCRIPCION </t>
  </si>
  <si>
    <t>1.1</t>
  </si>
  <si>
    <t>m3</t>
  </si>
  <si>
    <t>1.3</t>
  </si>
  <si>
    <t>un</t>
  </si>
  <si>
    <t>ITEM</t>
  </si>
  <si>
    <t>DESCRIPCION</t>
  </si>
  <si>
    <t>UN</t>
  </si>
  <si>
    <t>Cerramiento con tela verde y soportes de guadua cada 2 metros</t>
  </si>
  <si>
    <t>Señal preventiva y reglamentaria</t>
  </si>
  <si>
    <t>Instalación de valla institucional 2x4</t>
  </si>
  <si>
    <t>Retiro de material sobrante en vehiculo automotor</t>
  </si>
  <si>
    <t>ml</t>
  </si>
  <si>
    <t>Instalación de tubería PVC corrugada de 6" para domiciliarias</t>
  </si>
  <si>
    <t>Cajas de inspección 0,50x0,50 para domiciliarias, Incluye tapa en concreto</t>
  </si>
  <si>
    <t>Arena para base y atraque</t>
  </si>
  <si>
    <t>Entibado horizontal</t>
  </si>
  <si>
    <t>m2</t>
  </si>
  <si>
    <t>ML</t>
  </si>
  <si>
    <t>gl</t>
  </si>
  <si>
    <t>COSTO TOTAL</t>
  </si>
  <si>
    <t>COSTO DIRECTO</t>
  </si>
  <si>
    <t>IMPREVISTOS</t>
  </si>
  <si>
    <t>UND</t>
  </si>
  <si>
    <t>CONTRACTUAL</t>
  </si>
  <si>
    <t>CANTIDAD</t>
  </si>
  <si>
    <t>VR.UNITARIO</t>
  </si>
  <si>
    <t>VR. TOTAL</t>
  </si>
  <si>
    <t>PRELIMINARES</t>
  </si>
  <si>
    <t>1.1.</t>
  </si>
  <si>
    <t>Localizacion y replanteo (Incluye topografia y plano record)</t>
  </si>
  <si>
    <t>Techado provisional en Plástico Cal. 6  y guadua</t>
  </si>
  <si>
    <t>1.3.</t>
  </si>
  <si>
    <t>1.4.</t>
  </si>
  <si>
    <t>Suministro, Transporte e Instalacion Señal preventiva y reglamentaria</t>
  </si>
  <si>
    <t>und</t>
  </si>
  <si>
    <t>1.5.</t>
  </si>
  <si>
    <t>Instalacion de valla institucional 2x4 según diseñor Empocaldas</t>
  </si>
  <si>
    <t>DEMOLICIONES</t>
  </si>
  <si>
    <t>Demolicion Pavimentos y Andenes en Concreto Hidraulico</t>
  </si>
  <si>
    <t>Corte mecanizado de Pavimento de Concreto Hidraulico (0,07m)</t>
  </si>
  <si>
    <t>EXCAVACION</t>
  </si>
  <si>
    <t>Excavacion en zanja - Material Comun - 0.0 a 2.0 Mts</t>
  </si>
  <si>
    <t>Excavacion en zanja - Material Conglomerado - 0.0 a 2.0 Mts</t>
  </si>
  <si>
    <t>REPOSICIÓN DE LA RED DE ALCANTARILLADO</t>
  </si>
  <si>
    <t>Instalacion Tuberia PVC Corrugada 160mm (6") para Alcantarillado</t>
  </si>
  <si>
    <t xml:space="preserve">ENTIBADOS </t>
  </si>
  <si>
    <t>Entibado Horizontal/Vertical Tipo I</t>
  </si>
  <si>
    <t>CONSTRUCCION CAJAS DE INSPECCION DOMICILIARIA</t>
  </si>
  <si>
    <t>Suministro, Transporte e Instalacion Caja de Inspeccion Empalme domiciliario (0,50x0,50m) en Concreto 21Mpa</t>
  </si>
  <si>
    <t>Und</t>
  </si>
  <si>
    <t>RELLENOS</t>
  </si>
  <si>
    <t>Rellenos Compactados con Material de Obra</t>
  </si>
  <si>
    <t>Sustitucion en Arena limpia para Tuberias</t>
  </si>
  <si>
    <t>SUSTITUCION SUB-BASE Y BASES COMPACTADAS</t>
  </si>
  <si>
    <t>CONSTRUCCION  CAMARAS CIRCULARES DE INSPECCION Y EMPALMES</t>
  </si>
  <si>
    <t>Suministro, Transporte e Instalacion de Camara Circular de Inspeccion/Caida D=1,2m en Concreto 21Mpa</t>
  </si>
  <si>
    <t>Suministro, Transporte e Instalacion de Base - Cañuela Camara Circular de Inspeccion/Caida D=1,2m en Concreto 21Mpa</t>
  </si>
  <si>
    <t>Suministro, Transporte e Instalacion Tapa HF D=0,60m p/Camara de Inspeccion</t>
  </si>
  <si>
    <t>EVACUACION DE ESCOMBROS</t>
  </si>
  <si>
    <t>Evacuacion de Escombros y Sobrantes en vehiculo automotor (Incluye permiso de utilizacion de escombrera)</t>
  </si>
  <si>
    <t>OBRAS EN CONCRETO HIDRAULICO</t>
  </si>
  <si>
    <t>Concreto de 21Mpa para graderias y andenes</t>
  </si>
  <si>
    <t>Pavimentos de Franjas en Concreto hecho en obra Clase IB (MR42)</t>
  </si>
  <si>
    <t xml:space="preserve">ACERO </t>
  </si>
  <si>
    <t>kg</t>
  </si>
  <si>
    <t>COSTO TOAL OBRA  (Incluye AIU e iva sobre utilidades)</t>
  </si>
  <si>
    <t>Discriminación A.I.U</t>
  </si>
  <si>
    <t>TOTAL COSTO DIRECTO</t>
  </si>
  <si>
    <t>ADMINISTRACIÓN</t>
  </si>
  <si>
    <t>UTILIDAD</t>
  </si>
  <si>
    <t>COSTO TOTAL OBRAS</t>
  </si>
  <si>
    <t>IVA sobre utilidad</t>
  </si>
  <si>
    <t>COSTO TOTAL OBRA  (Incluye AIU e iva sobre utilidades)</t>
  </si>
  <si>
    <t>VALOR TOTAL</t>
  </si>
  <si>
    <t>REPOSICIÓN TUBERÍA PVC EN DESCOLE DEL BARRIO PABLO VI EN EL MUNICIPIO DE ANSERMA CALDAS</t>
  </si>
  <si>
    <t>Reconocimiento de palos de café en producción</t>
  </si>
  <si>
    <t>Erradicacion de palos de café,incluye desbrace, corte estracion de raiz y retiro</t>
  </si>
  <si>
    <t>Suministro e instalación de valla institucional 2*4 según diseño de Empocaldas</t>
  </si>
  <si>
    <t>Instalacion Tuberia PVC Corrugada 250mm (10") para Alcantarillado</t>
  </si>
  <si>
    <t>Reparación de cámara existentes (Sellado de filtraciones)</t>
  </si>
  <si>
    <t>Instalacion Tuberia PVC Corrugada 315mm (12") para Alcantarillado</t>
  </si>
  <si>
    <t>Instalación de tuberia PVC  corrugada de 6" para domiciliarias</t>
  </si>
  <si>
    <t>Cajas de inspección de 0,50*0,50 para domiciliarias Incluye tapa de concreto</t>
  </si>
  <si>
    <t>Empalme a camara existente</t>
  </si>
  <si>
    <t>Suministro, Transporte e Instalacion Subbase p/Pavimentos en Material Granular Seleccionado, compactado</t>
  </si>
  <si>
    <t>Concreto de 21Mpa para graderias, andenes y zonas peatonales</t>
  </si>
  <si>
    <t>Suministro, Transporte e Instalacion Acero de Refuerzo de 1/2" y 1 1/4" de 420 Mpa (4200Kg/cm²)</t>
  </si>
  <si>
    <t>TRABAJO SOCIAL</t>
  </si>
  <si>
    <t>Gl</t>
  </si>
  <si>
    <t>Excavación en conglomerado</t>
  </si>
  <si>
    <t>Instalación de silletas de 12" x 6"</t>
  </si>
  <si>
    <t>CONSTRUCCION  CAMARAS CIRCULARES DE INSPECCION</t>
  </si>
  <si>
    <t>Empalmes a camara de inicio y fin en buen estado</t>
  </si>
  <si>
    <t>Suministro transporte e instalación  de tapa con aro para pozo de inspección en H_F D=0,60 mts, con sistema de seguridad</t>
  </si>
  <si>
    <t>Evacuacion de Escombros y Sobrantes en vehiculo automotor.</t>
  </si>
  <si>
    <t>Profesional en trabajo social</t>
  </si>
  <si>
    <t>Demolicion concreto o Andenes en Concreto Hidraulico</t>
  </si>
  <si>
    <t>Localizacion y replanteo (Incluye  plano record)</t>
  </si>
  <si>
    <t>Cerramiento con bombones, cinta plastica y dos señales de desvio</t>
  </si>
  <si>
    <t>Instalacion de valla institucional 2x4</t>
  </si>
  <si>
    <t>Corte con disco abrasivo</t>
  </si>
  <si>
    <t>Demolicion de estructuras en concreto hidraulico Incluye andenes, graderia y cañuelas</t>
  </si>
  <si>
    <t>En material comun de 0 a 2m</t>
  </si>
  <si>
    <t>ESTRUCTURAS ACUEDUCTO</t>
  </si>
  <si>
    <t>Instalacion de acometidas de 1/2" desde el tubo madre hasta el medidor</t>
  </si>
  <si>
    <t>Un</t>
  </si>
  <si>
    <t>Empalme a tuberia existente incluye la instalción de accesorios uniones y Tees.</t>
  </si>
  <si>
    <t>Anclajes  a tuberia existente</t>
  </si>
  <si>
    <t xml:space="preserve">Un </t>
  </si>
  <si>
    <t>LLENOS</t>
  </si>
  <si>
    <t>Lleno compactado con material de la obra</t>
  </si>
  <si>
    <t>Subbase para pavimento y escalas</t>
  </si>
  <si>
    <t>CONCRETOS</t>
  </si>
  <si>
    <t>Concreto para pavimento</t>
  </si>
  <si>
    <t>Reposición de redes de acueducto y alcantarillado en la carrera 5 entre calles 1 y 2 del Municipio de Anserma Caldas</t>
  </si>
  <si>
    <t>ENTIBADO</t>
  </si>
  <si>
    <t>ENTIBADO TIPO I</t>
  </si>
  <si>
    <t>ESTRUCTURAS DE ALCANTARILLADO</t>
  </si>
  <si>
    <t>Instalacion de tuberia PVC  de 3"</t>
  </si>
  <si>
    <t>Kg</t>
  </si>
  <si>
    <t>ACOMPAÑAMIENTO SOCIAL</t>
  </si>
  <si>
    <t>Trabajadora social</t>
  </si>
  <si>
    <t>GL</t>
  </si>
  <si>
    <t>Suministro e  instalacion de tubo para accionamiento de valvula incluye tapa tipo chorote</t>
  </si>
  <si>
    <t xml:space="preserve">Acero de refuerzo para graderias </t>
  </si>
  <si>
    <t>Kilo</t>
  </si>
  <si>
    <t>Acompañamiento social durante toda la obra</t>
  </si>
  <si>
    <t>Cambio red acueducto en la carrera 1 entre calles 18 y 19 en el municipio de Anserma Caldas</t>
  </si>
  <si>
    <t>En conglomerado</t>
  </si>
  <si>
    <t>Instalacion de tuberia PVC de 6"</t>
  </si>
  <si>
    <t>Instalacion de tuberia PVC de 3"</t>
  </si>
  <si>
    <t>Empalme a tuberia existente</t>
  </si>
  <si>
    <t>Subbase para pavimento</t>
  </si>
  <si>
    <t>Cambio red acueducto calle 25 entre carreras 1 a la 4 en el municipio de Anserma Caldas</t>
  </si>
  <si>
    <t>Afirmado compactado</t>
  </si>
  <si>
    <t>Localización y replanteo (Incluye  plano record)</t>
  </si>
  <si>
    <t>En material común de 0 a 2m</t>
  </si>
  <si>
    <t>ESTRUCTURAS ALCANTARILLADO</t>
  </si>
  <si>
    <t>Cámara de caída D=1,2, H≤3,04, espesor de pared e=0,20 con colchón de piedra pegada e=40cm y boquilla</t>
  </si>
  <si>
    <t xml:space="preserve">Suministro e instalación de tapa con aro pozo de inspección en HF  D=0.60cm </t>
  </si>
  <si>
    <t>Bases y Cañuelas</t>
  </si>
  <si>
    <t>Empalme a cámara</t>
  </si>
  <si>
    <t>Sub base para pavimento</t>
  </si>
  <si>
    <t>Concreto de 21Mpa para graderías y andenes</t>
  </si>
  <si>
    <t xml:space="preserve">Acero de refuerzo </t>
  </si>
  <si>
    <t>Cambio red acueducto sector bomberos terminal en el municipio de Anserma Caldas</t>
  </si>
  <si>
    <t>Instalacion de tuberia PVC de 10"</t>
  </si>
  <si>
    <t>ÍTEM</t>
  </si>
  <si>
    <t>DESCRIPCIÓN</t>
  </si>
  <si>
    <t>UNIDAD</t>
  </si>
  <si>
    <t>VLR.UNITARIO</t>
  </si>
  <si>
    <t>VLR.TOTAL</t>
  </si>
  <si>
    <t>Localización y  replanteo</t>
  </si>
  <si>
    <t xml:space="preserve">Excavación  en material  común </t>
  </si>
  <si>
    <t xml:space="preserve">Excavación  en material conglomerado  para instalación  de tubería </t>
  </si>
  <si>
    <t xml:space="preserve">Excavación  en material rocoso  para instalación  de tubería </t>
  </si>
  <si>
    <t>Caja para válvula de lavado diámetro 1.20 m H Promedio 1,20 m completa con tapa metálica</t>
  </si>
  <si>
    <t xml:space="preserve">Llenos compactados con material de sitio </t>
  </si>
  <si>
    <t>Retiro de sobrantes en vehiculo automotor</t>
  </si>
  <si>
    <t xml:space="preserve">Dispersión de sobrantes </t>
  </si>
  <si>
    <t xml:space="preserve">Acero de refuerzo para graderías </t>
  </si>
  <si>
    <t xml:space="preserve">En conglomerado </t>
  </si>
  <si>
    <t>Instalación e tubería PVC corrugada de 14"</t>
  </si>
  <si>
    <t>UNID</t>
  </si>
  <si>
    <t>VR. UNITARIO</t>
  </si>
  <si>
    <t xml:space="preserve">VR. TOTAL </t>
  </si>
  <si>
    <t>1.-</t>
  </si>
  <si>
    <t>1.2</t>
  </si>
  <si>
    <t>mts</t>
  </si>
  <si>
    <t>1.4</t>
  </si>
  <si>
    <t>Valla alusiva a la Obra de 4 x 2m</t>
  </si>
  <si>
    <t>DEMOLICIONES VARIAS</t>
  </si>
  <si>
    <t>2.1</t>
  </si>
  <si>
    <t xml:space="preserve">EXCAVACIONES </t>
  </si>
  <si>
    <t>Retiro de sobrantes en vehículo Automotor</t>
  </si>
  <si>
    <t>4.1</t>
  </si>
  <si>
    <t>4.2</t>
  </si>
  <si>
    <t>5.1</t>
  </si>
  <si>
    <t>5.2</t>
  </si>
  <si>
    <t>M3</t>
  </si>
  <si>
    <t>Techado provisional en plástico y guadua</t>
  </si>
  <si>
    <t>Demolición de estructuras en concreto hidráulico Incluye andenes, gradería y cañuelas</t>
  </si>
  <si>
    <t>Instalación e tubería PVC corrugada de 12"</t>
  </si>
  <si>
    <t>Instalación de silletas de 12"x6"</t>
  </si>
  <si>
    <t>Concreto para pavimento 42MR hecho en obra</t>
  </si>
  <si>
    <t>En material común de 2,1 a 4m</t>
  </si>
  <si>
    <t>Entibado horizontal Tipo I</t>
  </si>
  <si>
    <t>Suministro e instalación de tapa con aro pozo de inspección en HD  D=0.60cm  para 12 toneladas</t>
  </si>
  <si>
    <t>Instalacion de tuberia PVC de 8"</t>
  </si>
  <si>
    <t>Suministro  e istalacion de tuberia de 8" conta pa tipo chorote para accionamiento de valvula</t>
  </si>
  <si>
    <t>Instalacion de tuberia PVC de 2"</t>
  </si>
  <si>
    <t>Cambio red acueducto en la calle 14 entre carreras 7 y 8 en el municipio de Chinchina Caldas</t>
  </si>
  <si>
    <t>Instalacion de Valvulas</t>
  </si>
  <si>
    <t>ITEMS</t>
  </si>
  <si>
    <t>A</t>
  </si>
  <si>
    <t>Gbl</t>
  </si>
  <si>
    <t>kgs</t>
  </si>
  <si>
    <t>1.5</t>
  </si>
  <si>
    <t>SOBREACARREOS</t>
  </si>
  <si>
    <t>%</t>
  </si>
  <si>
    <t>Demoliciones de pavimentos rigidos</t>
  </si>
  <si>
    <t>Demoliciones en concreto Hidraulico(Cilindro, base, Cañuela)</t>
  </si>
  <si>
    <t>Demoliciones de Andenes y Sardinel en concreto hidráulico</t>
  </si>
  <si>
    <t>3.1</t>
  </si>
  <si>
    <t>Excavaciones en zanja - material Común  0 a 2 m</t>
  </si>
  <si>
    <t>Entibado horizontal / vertical tipo 1</t>
  </si>
  <si>
    <t>RELLENOS COMPACTADOS</t>
  </si>
  <si>
    <t>Rellenos compactos con material seleccionado  de excavación</t>
  </si>
  <si>
    <t>Rellenos compactos con material comun de cantera prestamo</t>
  </si>
  <si>
    <t>SUSTITUCIONES- BASES Y SUBBASES COMPACTOS</t>
  </si>
  <si>
    <t>6.1</t>
  </si>
  <si>
    <t>ALCANTARILLADOS</t>
  </si>
  <si>
    <t>7.1</t>
  </si>
  <si>
    <t>7.4</t>
  </si>
  <si>
    <t>7.5</t>
  </si>
  <si>
    <t>Cámaras de Inspección D= 1.20 -Concreto  21 Mpa</t>
  </si>
  <si>
    <t>7.6</t>
  </si>
  <si>
    <t>Base/ cañuela camara D=1.20 m en concreto</t>
  </si>
  <si>
    <t>7.7</t>
  </si>
  <si>
    <t xml:space="preserve">Suministro e Instalacion Tapa D=0.60m en HF </t>
  </si>
  <si>
    <t>7.8</t>
  </si>
  <si>
    <t>Cajas de Inspeccion de 0,50 x 0,50 x 0,80</t>
  </si>
  <si>
    <t>7.9</t>
  </si>
  <si>
    <t>7.10</t>
  </si>
  <si>
    <t>Sumidero doble reja tipo sifon en concreto 21 Mpa   Tapa en HF, Acero de 1" separacion hierro 5 cms a ejes, platina central de refuerzo. según diseño establecido.</t>
  </si>
  <si>
    <t xml:space="preserve">OBRAS EN CONCRETO </t>
  </si>
  <si>
    <t>8.1</t>
  </si>
  <si>
    <t>Corte mecánizado profundidad  0.07 m</t>
  </si>
  <si>
    <t>8.2</t>
  </si>
  <si>
    <t>8.3</t>
  </si>
  <si>
    <t>Concreto 3000 Psi para Andenes y Rampas  e= 0,08 m</t>
  </si>
  <si>
    <t>TRABAJO DE SOCIALIZACION</t>
  </si>
  <si>
    <t>9.1</t>
  </si>
  <si>
    <t>Trabajodora Social- todo el proceso Domiciliarias y  socialización de la Obra Contratada</t>
  </si>
  <si>
    <t>Sustitucion en arena limpia para tuberias</t>
  </si>
  <si>
    <t xml:space="preserve">Empalmes a Cámaras d=1.20 m </t>
  </si>
  <si>
    <t>7.11</t>
  </si>
  <si>
    <t>8.4</t>
  </si>
  <si>
    <t>2.2</t>
  </si>
  <si>
    <t>Demoliciones varias muros en concretos, otros</t>
  </si>
  <si>
    <t>2.3</t>
  </si>
  <si>
    <t>Excavaciones en Material Conglomerado</t>
  </si>
  <si>
    <t>6.2</t>
  </si>
  <si>
    <t>6.3</t>
  </si>
  <si>
    <t>Suministro e Instalacion Tapa D=0.60m en HF</t>
  </si>
  <si>
    <t>7.12</t>
  </si>
  <si>
    <t>Adecuacion de Andenes y Rampas  e= 0,08 m Concreto de 3000 Psi.</t>
  </si>
  <si>
    <t>Trabajadora Social- todo el proceso Domiciliarias y  socialización de la Obra Contratada</t>
  </si>
  <si>
    <t>Base/ cañuela camara D=1.20 m en concreto 3000 psi</t>
  </si>
  <si>
    <t>Empalmes a Cajas de Inspeccion</t>
  </si>
  <si>
    <t>Cajas de Inspeccion de 0,50 x 0,50 x 0,80, Incluye tapa reforzada</t>
  </si>
  <si>
    <t>2.4</t>
  </si>
  <si>
    <t>2.5</t>
  </si>
  <si>
    <t>2.6</t>
  </si>
  <si>
    <t>2.7</t>
  </si>
  <si>
    <t>2.8</t>
  </si>
  <si>
    <t>3.2</t>
  </si>
  <si>
    <t>3.3</t>
  </si>
  <si>
    <t>3.4</t>
  </si>
  <si>
    <t>3.5</t>
  </si>
  <si>
    <t>3.6</t>
  </si>
  <si>
    <t>3.7</t>
  </si>
  <si>
    <t>3.8</t>
  </si>
  <si>
    <t>3.9</t>
  </si>
  <si>
    <t>Demolición de concreto asfaltico de (0,05 a 0,15 m)</t>
  </si>
  <si>
    <t>Afirmado para andenes y zonas duras varias E=0,10 m compactos con rana</t>
  </si>
  <si>
    <t>Instalacion de silla yee de 16 x 6".</t>
  </si>
  <si>
    <t>7.3</t>
  </si>
  <si>
    <t xml:space="preserve">Localizacion y replanteo de redes (incluye  esquema del sector y localización). </t>
  </si>
  <si>
    <t>Cámaras de Inspección D= 1.20 -Concreto simple 21 Mpa</t>
  </si>
  <si>
    <t>REPOSICIÓN Y OPTIMIZACIÓN DE LA RED DE ALCANTARILLADO EN TUBERÍA DE 16" PVC-S ,  EN LA CARRERA 5 ENTRE CALLES 10 Y 10B BARRIO EL CHICO, MUNICIPIO DE LA DORADA, CALDAS.-</t>
  </si>
  <si>
    <t>Cerramiento en polisombra Yute verde de H=2m, parales en guadua y Cinta Plástica en contorno.-</t>
  </si>
  <si>
    <t xml:space="preserve">Señales preventivas Verticales (Desvio, hombres trabajando, carril ocupado) </t>
  </si>
  <si>
    <t>Sub-base tipo INVIAS,Incluye Proctor modificado, Densidad.debidamente compactado con medio mecánico e= 0,20 m</t>
  </si>
  <si>
    <t>Instalacion tuberia corrugada PVC-S  de 160 mm (6").Incluye control y manejo de aguas en zanja.</t>
  </si>
  <si>
    <t>7.2</t>
  </si>
  <si>
    <t xml:space="preserve"> Instalacion tuberia corrugada PVC-S  de 400 mm (16").Incluye control y manejo de aguas.</t>
  </si>
  <si>
    <t xml:space="preserve"> Instalacion tuberia corrugada PVC-S  de 250 mm (10").Incluye control y manejo de aguas.</t>
  </si>
  <si>
    <t xml:space="preserve">Pavimento Flexible mezcla caliente E=0.15 m. incluye Imprimación, regado, compactacion con cilindro. </t>
  </si>
  <si>
    <t>REPOSICIÓN Y OPTIMIZACIÓN DE LA RED DE ALCANTARILLADO EN TUBERÍA DE 16" EN LA CALLE 10 ENTRE CARRERAS 5 Y 5A BARRIO EL CHICO. Y OBRAS CIVILES Y SUMIDERO EN LA CALLE 11 FRENTE AL No.10-39, MUNICIPIO DE LA DORADA, CALDAS.-</t>
  </si>
  <si>
    <t xml:space="preserve">CAMBIO DE RED DE ACUEDUCTO EN LA CARRERA 3 TRANSVERSAL 1 HASTA LA CALLE 5 SUR FRENTE AL VIVERO BUCAMBA.- BARRIO RENAN BARCO. MUNICIPIO DE LA DORADA -CALDAS.-  </t>
  </si>
  <si>
    <t>Demoliciones varias muros en concretos, anclajes y otros</t>
  </si>
  <si>
    <t>Sub-base tipo INVIAS,Incluye Proctor modificado, Densidad.debidamente compactado con medio mecánico e= 0,15 m</t>
  </si>
  <si>
    <t>ACUEDUCTO</t>
  </si>
  <si>
    <t>Empalmes a tubería existente.</t>
  </si>
  <si>
    <t xml:space="preserve">Pavimento en rigido de 3000 Psi de espesor 0,18 m  en obra incluye Acelerante, Antisol, ensayos de laboratorios </t>
  </si>
  <si>
    <t>Instalacion tuberia PVC-P  de 3". Incluye control y manejo de aguas en zanja.</t>
  </si>
  <si>
    <t xml:space="preserve">Suministro e Instalación de Acometida de 1/2" desde el tubo madre hasta el medidor, Incluye manguera PF+UAD de 1/2", Acoples, collarin 3 x 1/2" y Accesorios que requiera la acometida terminada. </t>
  </si>
  <si>
    <t xml:space="preserve">Instalación de Válvula de 3" </t>
  </si>
  <si>
    <t xml:space="preserve">CAMBIO RED ACUEDUCTO CALLE 44  ENTRE CARRERAS  5 C A 8 B  BARRIO LAS FERIAS EN EL MUNICIPIO DE LA DORADA </t>
  </si>
  <si>
    <t>Cerramiento en polisombra (Yute verde) de H02m parales fijado al piso en guadua y cinta plástica.</t>
  </si>
  <si>
    <r>
      <t>m</t>
    </r>
    <r>
      <rPr>
        <sz val="10"/>
        <color indexed="8"/>
        <rFont val="Arial"/>
        <family val="2"/>
      </rPr>
      <t>³</t>
    </r>
  </si>
  <si>
    <t xml:space="preserve">Retiro de material sobrante en vehículo automotor </t>
  </si>
  <si>
    <t>Instalación de tubería PVC 8"</t>
  </si>
  <si>
    <t>Instalación de acometidas de 1/2" desde el tubo madre hasta el medidor</t>
  </si>
  <si>
    <t xml:space="preserve">Instalación de válvulas </t>
  </si>
  <si>
    <t>Instalación de hidrante</t>
  </si>
  <si>
    <t xml:space="preserve">Caja para válvula de 0,8 por 0,8 por H con tapa </t>
  </si>
  <si>
    <t>Empalme a tubería existente</t>
  </si>
  <si>
    <t xml:space="preserve">Lleno compactado con material de prestamo </t>
  </si>
  <si>
    <t xml:space="preserve">Concreto de 21Mpa para graderías,  andenes y anclajes </t>
  </si>
  <si>
    <t>Concreto para pavimento 42MR hecho en obra.Incluye Acelerante, Antisol, fraguado, ensayos de laboratorio</t>
  </si>
  <si>
    <t xml:space="preserve">Concreto asfaltico </t>
  </si>
  <si>
    <t xml:space="preserve">CAMBIO RED ACUEDUCTO CALLE 13 CARRERA 10 - 9  Y CARRERA 10  ENTRE CALLE 13 -11 A SECTOR COLEGIO EL CARMEN EN EL MUNICIPIO DE LA DORADA </t>
  </si>
  <si>
    <t>Señal preventiva y reglamentaria verticales</t>
  </si>
  <si>
    <t>Instalación de tubería PVC 3"</t>
  </si>
  <si>
    <t xml:space="preserve">Lleno compactado con material de  la obra </t>
  </si>
  <si>
    <t>Reposición de alcantarillado en la  calle 10 entre carreras 3 y 4  en el municipio de Aguadas Caldas</t>
  </si>
  <si>
    <t>Reposición de alcantarillado en la calle 11 entre carreras 5 y 6  en el municipio de Aguadas Caldas</t>
  </si>
  <si>
    <t>Reposición de alcantarillado en la calle 9 entre carreras 4 a la 6 en el municipio de Aguadas Caldas</t>
  </si>
  <si>
    <t>Cambio red acueducto en la  calle 10 entre carreras 3 y 4 en el municipio de Aguadas Caldas</t>
  </si>
  <si>
    <t>Cambio red acueducto en la calle 11 entre carreras 5 y 6 en el municipio de Aguadas Caldas</t>
  </si>
  <si>
    <t>Cambio red acueducto en la calle 9 entre carreras 4 a la 6 en el municipio de Aguadas Caldas</t>
  </si>
  <si>
    <t>10.1</t>
  </si>
  <si>
    <t>4.5</t>
  </si>
  <si>
    <t>8.5</t>
  </si>
  <si>
    <t>8.6</t>
  </si>
  <si>
    <t>Localizacion y replanteo</t>
  </si>
  <si>
    <t>m</t>
  </si>
  <si>
    <t>OBRA CIVIL</t>
  </si>
  <si>
    <t>SUBTOTAL</t>
  </si>
  <si>
    <t>Localización y replanteo</t>
  </si>
  <si>
    <t>REPOSICIÓN DE LA RED DE ALCANTARILLADO EN LA CALLE 15 ENTRE CARRERAS 3D Y 4A SECTOR LOS FUNDADORES EN EL MUNCIPIO DE RIOSUCIO CALDAS</t>
  </si>
  <si>
    <t>SEÑALIZACIÓN</t>
  </si>
  <si>
    <t>Excavacion en zanja - Material Comun - 2.01 a 4.0 Mts</t>
  </si>
  <si>
    <t>Instalación y transporte e instalacion Tuberia PVC Corrugada 160mm (6") para Alcantarillado</t>
  </si>
  <si>
    <t>Instalación y transporte de tuberia PVC de 24"</t>
  </si>
  <si>
    <t>REPOSICION DE LA RED DE ALCANTARILLADO EN LA calle 25 ENTRE CARRERAS 8 Y 8A  EN EL MUNICIPIO DE SUPIA CALDAS</t>
  </si>
  <si>
    <t>Instalacion de valla institucional 2x4 según diseño Empocaldas</t>
  </si>
  <si>
    <t>Demolicion Pavimentos, Andenes y estructuras en Concreto Hidraulico y pavimento flexible</t>
  </si>
  <si>
    <t>Rellenos Compactados con Material de Cantera de Prestamo (Afirmado compactado).</t>
  </si>
  <si>
    <t>Suministro, Transporte e Instalacion Tapa HD D=0,60m p/Camara de Inspeccion</t>
  </si>
  <si>
    <t>SUMIDEROS</t>
  </si>
  <si>
    <t>Mezcla Asfaltica MDC2 para pavimento flexible</t>
  </si>
  <si>
    <t>REPOSICIÓN DE LA RED DE ACUEDUCTO</t>
  </si>
  <si>
    <t>Instalación de tubería PVC presión RDE 21 de 6" incluye instalación de tees, codos y accesorios y transporte desde la planta al sitio de instalación.</t>
  </si>
  <si>
    <t>Instalacion de acometidas de 1/2" desde el tubo principal de 3" hasta el medidor</t>
  </si>
  <si>
    <t>Rellenos Compactados con Material de Cantera de Prestamo (Afirmado compactado)</t>
  </si>
  <si>
    <t>Reposición de andenes en acabados de granito, tablón, ceramico u otro.</t>
  </si>
  <si>
    <t>REPOSICION DE LA RED DE ACUEDUCTO Y ALCANTARILLADO EN LA carrera 11 entre calles 34 y 34A EN EL MUNICIPIO DE SUPIA CALDAS</t>
  </si>
  <si>
    <t>Rellenos Compactados con Material de Cantera de Prestamo. (Afirmado compactado)</t>
  </si>
  <si>
    <t>REPOSICION DE LA RED DE ACUEDUCTO Y ALCANTARILLADO EN LA calle 36 entre carreras 7 y 6 EN EL MUNICIPIO DE SUPIA CALDAS</t>
  </si>
  <si>
    <t>Instalación de tubería PVC presión RDE 21 de 2" incluye instalación de tees, codos y accesorios y transporte desde la planta al sitio de instalación.</t>
  </si>
  <si>
    <t>Instalacion de acometidas de 1/2" desde el tubo principal de 2" hasta el medidor</t>
  </si>
  <si>
    <t>REPOSICION DE LA RED DE ACUEDUCTO Y ALCANTARILLADO EN LA carrera 6 entre calles 35 y 36 EN EL MUNICIPIO DE SUPIA CALDAS</t>
  </si>
  <si>
    <t>Instalacion de acometidas de 1/2" desde el tubo principal de 6" hasta el medidor</t>
  </si>
  <si>
    <t>Suministro, Transporte e Instalacion Tapa HD D=0,60m p/Camara de Inspección</t>
  </si>
  <si>
    <t>REPOSICIÓN DE ALCANTARILLADO A MANERA DE SERVIDUMBRE Y QUE ATRAVIESA LOS SOLARES DE LAS CASAS LOCALIZADAS ENTRE LA CARRERA 7 Y LA CANCHA DE FUTBOL BARRIO OBRERO  MUNICIPIO DE SAMANA - CALDAS.-</t>
  </si>
  <si>
    <t>Localización y Replanteo (Incluye levantamiento y plano Record)</t>
  </si>
  <si>
    <t xml:space="preserve">Cerramiento con cinta y bombones plásticos debidamente colocados cada  2metros y tres cintas plásticas de precausión. </t>
  </si>
  <si>
    <t>Entibado tipo 1 (Sera reutilizable y se paga solamente una vez)</t>
  </si>
  <si>
    <t xml:space="preserve">Valla alusiva a la Obra de 2 x 4m con parales en en cuartones  y debidamente fijada </t>
  </si>
  <si>
    <t xml:space="preserve">Excavaciones en zanja - material Común </t>
  </si>
  <si>
    <t xml:space="preserve">Excavaciones en Conglomerado. </t>
  </si>
  <si>
    <t xml:space="preserve">4.- </t>
  </si>
  <si>
    <t>SOBRE ACARREO VEHÍCULO AUTOMOTOR</t>
  </si>
  <si>
    <t>Retiro de escombros y material sobrantes en vehículo automotor</t>
  </si>
  <si>
    <t xml:space="preserve">Rellenos  material comun  de excavación,  seleccionado-  compactos. </t>
  </si>
  <si>
    <t>Relleno con material de Cantera tipo recebo compacto incluye densidad</t>
  </si>
  <si>
    <t xml:space="preserve">SUSTITUCIONES, SUB-BASE, BASES  </t>
  </si>
  <si>
    <t>6.1.</t>
  </si>
  <si>
    <t xml:space="preserve">Sub-base tipo INVIAS compacto e= 0,20 m, Incluye Densidades, protor modificado, </t>
  </si>
  <si>
    <t>Suministro e instalación de arena para tuberías y atraques</t>
  </si>
  <si>
    <t>INSTALACIONES SANITARIAS</t>
  </si>
  <si>
    <t xml:space="preserve">Instalacion de Tuberia CorrugadaPVC-S de 12", Incluye manejo de aguas en zanja </t>
  </si>
  <si>
    <t>Instalacion de Tuberia Corrugada PVC-Sde 06". Incluye manejo de aguas en zanja</t>
  </si>
  <si>
    <t>Empalmes a Cajas de Inspeccion existentes</t>
  </si>
  <si>
    <t>Cámaras de Inspección D= 1.20 -Concreto  21 Mpa E= 0,20 m</t>
  </si>
  <si>
    <t>Base/ cañuela camara D=1.20 m en concreto 3000 psi.base e= 0,20 m</t>
  </si>
  <si>
    <t>Cajas de Inpeccion de 0,50 x 0,50 x 0,80 Incluye tapa en concreto reforzado.concreto de 3000  psi.</t>
  </si>
  <si>
    <t xml:space="preserve">Instalación de sillas Yee de 12 x 6" </t>
  </si>
  <si>
    <t>Pavimento completo en concreto producido en obra de 3000 Psi, incluye (Acelerante + antisol) y ensayos a flexión. E= 0,15 M</t>
  </si>
  <si>
    <t>Trabajadora Social- tiempo necesario de socialización.Incluye proceso de Domiciliarias</t>
  </si>
  <si>
    <t>Retiro de material sobrante en vehículo automotor</t>
  </si>
  <si>
    <t>Costo Total</t>
  </si>
  <si>
    <t>Imprevistos</t>
  </si>
  <si>
    <t>Excavaciones en zanja - material Común.-Ancho zanja 0,80 m</t>
  </si>
  <si>
    <t>Excavaciones en Conglomerado</t>
  </si>
  <si>
    <t>Retiro de escombros y material sobrantes</t>
  </si>
  <si>
    <t xml:space="preserve">Rellenos  material comun, tierra seleccionado- prestamo debidamente compactos. </t>
  </si>
  <si>
    <t>Sub-base tipo INVIAS compacto, Incluye Densidades, protor modificado, e= 0,18 m</t>
  </si>
  <si>
    <t>OBRAS DE ACUEDUCTO</t>
  </si>
  <si>
    <t>9.2</t>
  </si>
  <si>
    <t>9.3</t>
  </si>
  <si>
    <t>9.4</t>
  </si>
  <si>
    <t xml:space="preserve">Caja para válvula de 0,,5 x 0,,50 en concretro de 3000psi con tapa reforzada en concreto 3000 psi E= 0,15, incluye porta valvula y acero de refuerzo No. 4 cada 15 cms.. </t>
  </si>
  <si>
    <t>9.5</t>
  </si>
  <si>
    <t>Empalmes a tuberia existentes</t>
  </si>
  <si>
    <t xml:space="preserve">Valla alusiva a la Obra de 4 x 2m- Incluye tres parales en madera  y con elementos solidos en todo el contorno. </t>
  </si>
  <si>
    <t>4.6</t>
  </si>
  <si>
    <t>4.7</t>
  </si>
  <si>
    <t>4.8</t>
  </si>
  <si>
    <t>Material Sub-Base tipo INVIAS  E= 0,20 m incluye proctor modificado y densidad</t>
  </si>
  <si>
    <t>Sumidero doble reja tipo sifon en concreto 21 Mpa   Tapa en HF,rejas con separación de hierros cada 5 cms entre ejes y  Según diseño establecido</t>
  </si>
  <si>
    <t>SOCIALIZACIÓN</t>
  </si>
  <si>
    <t xml:space="preserve">Cerramiento en polisombra Cinta Plástica y parales en guadua cada 2 m. debidamente Anchados </t>
  </si>
  <si>
    <t>Señales Verticales Preventivas (Devio, hombres trabajando etc.)</t>
  </si>
  <si>
    <t>Excavaciones en zanja - material Común  0 a 2 m.-</t>
  </si>
  <si>
    <t>Excavaciones en material petreo y conglomerado</t>
  </si>
  <si>
    <t>Afirmado  en andenes Esp. 0,10 m</t>
  </si>
  <si>
    <t>Sustitucion en arena limpia para tuberias y atraques.</t>
  </si>
  <si>
    <t>Losa en concreto reforzado de 1.50 x1.50 x 0,18m, incluye Acero de Refuerzo doble parrilla cada 15 cms , acelerante y antisol</t>
  </si>
  <si>
    <t xml:space="preserve">Corte de barras de 5/8 en rejillas </t>
  </si>
  <si>
    <t xml:space="preserve">Anclajes en Diámetro 1/2"  L = 0,40 0,20 m ( Incluye la perforación y el Sika anclaje </t>
  </si>
  <si>
    <t xml:space="preserve">Cable de diámetro 1/2" </t>
  </si>
  <si>
    <t xml:space="preserve">Afirmado para pavimento </t>
  </si>
  <si>
    <t xml:space="preserve">Rellenos con material de prestamo </t>
  </si>
  <si>
    <t xml:space="preserve">Afirmado para pavimentos </t>
  </si>
  <si>
    <t xml:space="preserve">Cerramiento en Yute verde (Polisombra) con cinta  plásticos; con parales cada 2 m   debidamente  fijados al piso en todo el contorno y durante la duración de la obra. </t>
  </si>
  <si>
    <t xml:space="preserve">Cubierta a una pendiente en plástico y estructura en guaduas con parales a tierra cada dos metros a debidamente fijado. </t>
  </si>
  <si>
    <t>Señales preventivas verticales metálicas (vía cerrada, desvio, hombres trabajando)</t>
  </si>
  <si>
    <t xml:space="preserve">Excavaciones en zanja - material común </t>
  </si>
  <si>
    <t>Excavaciones en material Conglomerado</t>
  </si>
  <si>
    <t>Retiro de escombros y material sobrantes en Vehículo Automotor.</t>
  </si>
  <si>
    <t xml:space="preserve">Rellenos  material comun tierra, seleccionada-  debidamente compactos. </t>
  </si>
  <si>
    <t xml:space="preserve">Instalacion de Tuberia CorrugadaPVC-S de 14".Incluye manejo de aguas en zanja. </t>
  </si>
  <si>
    <t>Instalacion de Tuberia Corrugada PVC-Sde 06".Incluye Manejo de Aguas en zanja.</t>
  </si>
  <si>
    <t>Empalmes a Cámaras d=1.20 m emboquillado interior y exterior.</t>
  </si>
  <si>
    <t>Base/ cañuela camara D=1.20 m en concreto de 3000 Psi base de E= 0,20 m.</t>
  </si>
  <si>
    <t>Cajas de Inpeccion de 0,50 x 0,50 x 0,80 Incluye tapa en concreto reforzado.</t>
  </si>
  <si>
    <t xml:space="preserve">Instalación de sillas Yee de 14 x 6" </t>
  </si>
  <si>
    <t>Losa en concreto para fijar tapa de HF de 1.50 x 1.50 x=0,18 en concreto de 4000 Psi.Incluye refuerzo No. 4 cada 15 cms parrilla doble.antisol.</t>
  </si>
  <si>
    <t>Sellado de juntas en pavimento de concreto con material elastómerico de 5 mm.Incluye corte h= 0,07m</t>
  </si>
  <si>
    <t>Acero de refuerzo para Canastillas y dovelas de No. 8 y longitud de 0.35 m, cada separada cada 30 cms. con su respectiva canastilla de apoyo de 1/4"y Acero longitudinal No. 4 de 1 m.Cada  1 m.</t>
  </si>
  <si>
    <t>Instalación de Tubería PVC-P de 4" RDE 21 Unión mecánica.</t>
  </si>
  <si>
    <t xml:space="preserve">Suministro e Instalación de Acometida de 1/2" desde el tubo madre hasta el medidor, Incluye manguera PF+UAD de 1/2", Acoples collarin 3 x 1/2" y Accesorios que requiera la acometida terminada. </t>
  </si>
  <si>
    <t>Instalación de Válvula HD compuerta elástica de 3" y 4" JH</t>
  </si>
  <si>
    <t xml:space="preserve">Caja para válvula de 0,80 x 0,80 en concretro de 3000psi con tapa reforzada en concreto, incluye porta valvula. </t>
  </si>
  <si>
    <t>ADMINISTRACION</t>
  </si>
  <si>
    <t>UTILIDADES</t>
  </si>
  <si>
    <t>Construccion red para conectar la red urbana del hospital de la red de conduccion de Palestina  en el municipio de Chinchina Caldas</t>
  </si>
  <si>
    <t>Retiro de cerca de alambre de púas</t>
  </si>
  <si>
    <t>Entibado horizontal tipo II</t>
  </si>
  <si>
    <t>Instalación y termo fusión  de tubería de polietileno de 3"</t>
  </si>
  <si>
    <t>Instalación de Válvulas</t>
  </si>
  <si>
    <t>Suministro  e instalación de tubería de 8" con tapa tipo chorote para accionamiento de válvula</t>
  </si>
  <si>
    <t>Concreto para pavimento y soparte cercha metálica a 42 MR</t>
  </si>
  <si>
    <t>Pilotines en concreto. Diámetro 0.350 m. Incluye concreto f'c = 21 Mpa, Incluye Perforación y Refuerzo (10 Kg/ml)</t>
  </si>
  <si>
    <t>Cercha metálica para soportar tubería de 3"</t>
  </si>
  <si>
    <t>Acero de refuerzo</t>
  </si>
  <si>
    <t>Reconstrucción de cerca con postes plásticos 1 cada 2 metros y 5 hiladas de alambre de púas calibre 16 incluye suministro de postes y alambre de púas</t>
  </si>
  <si>
    <t>UNID.</t>
  </si>
  <si>
    <t>Localización y replanteo (incluye plano record y diligenciamiento de plantillas en hoja de calculo)</t>
  </si>
  <si>
    <t>Suministro, transporte e instalacion valla informativa general del proyecto 2 m x 4 m</t>
  </si>
  <si>
    <t>Suministro, Transporte e Instalación barrera con bombones en guadua y cinta de seguridad</t>
  </si>
  <si>
    <t>MOVIMIENTO DE TIERRAS</t>
  </si>
  <si>
    <t>Excavación en Zanja/Cielo Abierto - Material Común - 0.0 a 2.0 m</t>
  </si>
  <si>
    <t>Excavación en Zanja/Cielo Abierto - Material Común - 2.01 a 4.00 m</t>
  </si>
  <si>
    <t>Excavación en Zanja/Cielo Abierto - Conglomerado - 0.0 a 2.0 m</t>
  </si>
  <si>
    <t xml:space="preserve">Excavación en Zanja/Cielo Abierto - Conglomerado - 2.01 a 4.00 m         </t>
  </si>
  <si>
    <t>Excavación para Cámaras - Material Común - 0.0 a 2.0 m</t>
  </si>
  <si>
    <t>Excavación para Cámaras - Material Común - 2.0 a 4.0 m</t>
  </si>
  <si>
    <t>Suministro, Transporte e Instalación Sustitución en Arena Limpia</t>
  </si>
  <si>
    <t>Relleno en Material Seleccionado Proveniente de la Excavación Compactado</t>
  </si>
  <si>
    <t>2.9</t>
  </si>
  <si>
    <t>Suministro, Transporte e Instalación de Relleno Compactado con Material de Prestamo</t>
  </si>
  <si>
    <t>2.10</t>
  </si>
  <si>
    <t>Retiro y disposicion de escombros y sobrantes en sitio</t>
  </si>
  <si>
    <t>2.11</t>
  </si>
  <si>
    <t>Retiro y disposicion de escombros y sobrantes en vehiculo automotor</t>
  </si>
  <si>
    <t>INSTALACIÓN TUBERÍA Y CÁMARAS</t>
  </si>
  <si>
    <t>Suministro, Transporte e Instalación Cámara Circular de Inspección/Caída D=1.20 m. en Concreto Clase II. e=0,25m</t>
  </si>
  <si>
    <t>Suministro, Transporte e Instalación Base-Cañuela Cámara Circular Inspeccion D=1.20 m en Concreto Clase II</t>
  </si>
  <si>
    <t>Suministro e instalacion de aro y tapa para pozo de inspeccion en HF - D=0,60 m. Via automotor</t>
  </si>
  <si>
    <t>4.9</t>
  </si>
  <si>
    <t>4.10</t>
  </si>
  <si>
    <t>Costal de tierra para contencion de relleno</t>
  </si>
  <si>
    <t>Materializacion de placas de amarre y traslado de coordenadas georeferenciadas en Magna-Sirgas</t>
  </si>
  <si>
    <t>ENTIBADOS</t>
  </si>
  <si>
    <t>Tipo 1A: Entibado discontinuado en madera</t>
  </si>
  <si>
    <t>I</t>
  </si>
  <si>
    <t>U</t>
  </si>
  <si>
    <t>IVA</t>
  </si>
  <si>
    <t>TOTAL TRAMO</t>
  </si>
  <si>
    <t>Rocería y limpieza</t>
  </si>
  <si>
    <t>Suministro, transporte e instalacion Campamento provisional</t>
  </si>
  <si>
    <t>2.12</t>
  </si>
  <si>
    <t>Suministro, Transporte e Instalación Relleno en Afirmado Compactado</t>
  </si>
  <si>
    <t>2.13</t>
  </si>
  <si>
    <t>Suministro, transporte e instalación de empradizacion de taludes y zonas verdes</t>
  </si>
  <si>
    <t>2.14</t>
  </si>
  <si>
    <t>2.15</t>
  </si>
  <si>
    <t>Tapa para camara en concreto, incluye acero de refuerzo. Via Peatonal</t>
  </si>
  <si>
    <t>TRATAMIENTO ESTABILIZACIÓN DE TALUDES</t>
  </si>
  <si>
    <t>Tratamiento Tipo 1 - Trincho en guadua</t>
  </si>
  <si>
    <t>3.10</t>
  </si>
  <si>
    <t>3.11</t>
  </si>
  <si>
    <t>VIADUCTOS METÁLICOS</t>
  </si>
  <si>
    <t xml:space="preserve">Excavación en material común </t>
  </si>
  <si>
    <t>Solado de limpieza 2000 psi e=5cm</t>
  </si>
  <si>
    <t>Concreto viga cabezal f'c = 21 Mpa</t>
  </si>
  <si>
    <t>Lámina perimetral de protección tubería, espesor de 1.2 mm galvanizada y pintada</t>
  </si>
  <si>
    <t>CONSTRUCCION CONDUCCION TRAMO CONDOMINIO SAN JUAN A TANQUE NUEVO</t>
  </si>
  <si>
    <t>VALOR UNITARIO</t>
  </si>
  <si>
    <t>Localización y replanteo (incluye topografía y plano record)</t>
  </si>
  <si>
    <t>Excavación para paso subfluvial 0-4 m Condiciones Húmedas</t>
  </si>
  <si>
    <t>Suministro, Transporte e Instalación Relleno Compactado con Material de Prestamo</t>
  </si>
  <si>
    <t>Relleno en Material Seleccionado Proveniente de la Excavación</t>
  </si>
  <si>
    <t>INSTALACION TUBERIAS</t>
  </si>
  <si>
    <t>Transporte e Instalación Tubería PVC Tipo Unión Mecánica RDE 21 de 3" P/Acueducto - Incluye instalación de accesorios tes, codos, reducciones, tapones</t>
  </si>
  <si>
    <t>Transporte e Instalación Tubería PVC Tipo Unión Mecánica de 4" P/Acueducto - Incluye instalación de accesorios tes, codos, reducciones, tapones</t>
  </si>
  <si>
    <t>INSTALACIONES HIDRAULICAS</t>
  </si>
  <si>
    <t>Transporte e Instalación de Válvula HD de 3" JH</t>
  </si>
  <si>
    <t>Transporte e Instalación de Válvula HD de 4" JH</t>
  </si>
  <si>
    <t>Transporte e Instalación Ventosa (incluye accesorios)</t>
  </si>
  <si>
    <t>Transporte e Instalación de Válvula Purga (incluye accesorios)</t>
  </si>
  <si>
    <t>Transporte e Instalación de Válvula de cierre, Válvula de Control de Rebose, Niples y demás accesorios</t>
  </si>
  <si>
    <t>Suministro e instalación de sistema de protección de Válvula - incluye tapa tipo chorote en HD, tubo pvc de 6" Longitud 0,80 m y Losa de 0,50 m * 0,50 m en concreto reforzado</t>
  </si>
  <si>
    <t>Caja para Válvula en Concreto 21 Mpa producido en obra - incluye instalación de tapa tipo chorote en HD incrustada en la tapa de concreto</t>
  </si>
  <si>
    <t>Caja para Ventosa en concreto 21 Mpa producido en obra - incluye instalacion de aro y tapa completa en HF D=0.60 m</t>
  </si>
  <si>
    <t>Suministro, Transporte e Instalación de aro-tapa de diámetro 0.60 m en HD con sistema de seguridad</t>
  </si>
  <si>
    <t>Suministro, Transporte e Instalación de Acero de Refuerzo de 1/4" a 1-1/4" de 420 Mpa (4200 Kg/cm2)</t>
  </si>
  <si>
    <t>Concreto para anclajes de tuberia 21 Mpa producido en Obra</t>
  </si>
  <si>
    <t>CONSTRUCCION CONDUCCION TANQUE NUEVO A RED DE DISTRIBUCION VEREDA SAN JOSE</t>
  </si>
  <si>
    <t>TANQUE DE ALMACENAMIENTO</t>
  </si>
  <si>
    <t>VR UNIT.</t>
  </si>
  <si>
    <t>OBRAS CIVILES</t>
  </si>
  <si>
    <t>ACCESORIOS TANQUE</t>
  </si>
  <si>
    <t>3.12</t>
  </si>
  <si>
    <t>COSTO DIRECTO OBRAS CIVILES</t>
  </si>
  <si>
    <t>COSTO INDIRECTO (A.U.)</t>
  </si>
  <si>
    <t>TOTAL COSTO OBRAS CIVILES</t>
  </si>
  <si>
    <t xml:space="preserve">Caja para Válvula de 3"de 0,80 x 0,80 en concreto de 3000 psi espesor 0,15 m. Incluye tapa en concreto e=0.15 m, Acero No. 4 c/15 cm y porta valvula de 3"  </t>
  </si>
  <si>
    <t>Utilidad</t>
  </si>
  <si>
    <t>CAN</t>
  </si>
  <si>
    <t>VR TOTAL</t>
  </si>
  <si>
    <t>VR UNIT</t>
  </si>
  <si>
    <t>localizacion y replanteo</t>
  </si>
  <si>
    <t>Demolición de estructuras en concreto hidráulico incluye andenes, gradería y cañuelas</t>
  </si>
  <si>
    <t>En material comun de 0 a 2 mts</t>
  </si>
  <si>
    <t>En material roca</t>
  </si>
  <si>
    <t>Instalacion de tuberia PVC corrugada de 12"</t>
  </si>
  <si>
    <t>Instalacion de tuberia PVC corrugada de 20"</t>
  </si>
  <si>
    <t>Camara de caida D=1,2 H&lt;=3,04, espesor de pared e=0,20 con colchon de piedra pegada e=0,40 cm y boquilla</t>
  </si>
  <si>
    <t>Bases y cañuelas</t>
  </si>
  <si>
    <t>Suministro e instalación de tapa con aro pozo de inspección en HF  D=0.60cm con empaque anti ruido y sistema de seguridad</t>
  </si>
  <si>
    <t>Instalacion de tuberia pvc corrugada de 6" para domiciliarias</t>
  </si>
  <si>
    <t>cajas de inspeccion de 0,5x0,50m incluye tapa en concreto reforzado</t>
  </si>
  <si>
    <t>Instalacion de silletas de 12x6" incluye adhesivo</t>
  </si>
  <si>
    <t>Empalme a camaras</t>
  </si>
  <si>
    <t>Lleno compactado con material de prestamo</t>
  </si>
  <si>
    <t>Lleno compactado con material de excavacion</t>
  </si>
  <si>
    <t>Sub base para pavimento y escala</t>
  </si>
  <si>
    <t>concreto de 21 Mpa para graderias y andenes</t>
  </si>
  <si>
    <t>Concreto para pavimento MR42 hecho en obra</t>
  </si>
  <si>
    <t>ACERO</t>
  </si>
  <si>
    <t>Acero de refuerzo para graderias</t>
  </si>
  <si>
    <t>Acompañamiento social durante la obra</t>
  </si>
  <si>
    <t>IVA SOBRE UTILIDADES</t>
  </si>
  <si>
    <t xml:space="preserve"> Reposición de alcantarillado y descole barrio Hispania carrera 12 entre calles 2 a 5, calles 2 3 y 4 entre carreras 12 y 13 y calle 3 entre carreras 11 y 12 Municipio de Riosucio </t>
  </si>
  <si>
    <t>Reposición de alcantarillado barrio el Playon en el municipio de Salamina</t>
  </si>
  <si>
    <t xml:space="preserve">Instalación de silletas de 14"x6" </t>
  </si>
  <si>
    <t>Empalme a cámara y a imbornal</t>
  </si>
  <si>
    <t xml:space="preserve"> REPOSICIÓN Y OPTIMIZACIÓN DE LA RED DE  ALCANTARILLADO. LOCALIZACIÓN TRANSVERSAL 4  CALLES 11 Y 12. BARRIO BUENOS AIRES. -  MUNICIPIO DE VICTORIA, CALDAS.-</t>
  </si>
  <si>
    <t>Localizacion y replanteo de la red Principal  (Incl.levantamiento del sector y plano record)</t>
  </si>
  <si>
    <t xml:space="preserve">Demoliciones de pavimentos rigidos </t>
  </si>
  <si>
    <t>Pavimento completo en concreto producido en obra de 3000 psi, incluye (Acelerante + antisol) ensayos a flexión  Espesor: 0,18 m</t>
  </si>
  <si>
    <t xml:space="preserve">Dren en piedra y geotexitil 1400 NTde seccion  0,4 x 0,50 </t>
  </si>
  <si>
    <t>Cambio red acueducto calle 10 con carrera 4 Y 5 en el municipio de Aguadas Caldas</t>
  </si>
  <si>
    <t>Retiro de material sobrante</t>
  </si>
  <si>
    <t>Cambio red acueducto carrera 7 entre calles 8 y 9 en el municipio de Aguadas Caldas</t>
  </si>
  <si>
    <t>Instalación de tubería PVC de 2"</t>
  </si>
  <si>
    <t>Reposición de alcantarillado carrera 4 N° 3A-09 colinas bajas en corregimiento de Arauca  municipio de Palestina Caldas</t>
  </si>
  <si>
    <t>En material Roca</t>
  </si>
  <si>
    <t>Apuntalamiento de poste de cemento eléctrico</t>
  </si>
  <si>
    <t>Retiro de material sobrante en vehículo automotor con escombrera en Manizales</t>
  </si>
  <si>
    <t>Lleno compactado con material  de sustitución</t>
  </si>
  <si>
    <t>Costo unitario</t>
  </si>
  <si>
    <t>Administracion</t>
  </si>
  <si>
    <t>REPOSICIÓN Y OPTIMIZACIÓN DE LA RED DE ACUEDUCTO Y ALCANTARILLADO, LOCALIZACIÓN CARRERA 6 CALLES 10 A 12 BARRIO CENTRO- MUNICIPIO DE VICTORIA, CALDAS.-</t>
  </si>
  <si>
    <t>Localizacion y replanteo de redes (Incl.levantamiento del sector y plano record)</t>
  </si>
  <si>
    <t>Cerramiento en polisombra (yute) H= 2,00m,Cinta Plástica en todo el contorno y parales en guadua cada 2 m.</t>
  </si>
  <si>
    <t xml:space="preserve">Valla alusiva a la Obra de 4 x 2m- Incluye tres parales en madera  y con elementos solidos en todo el contorno y colocada en lugar visible. </t>
  </si>
  <si>
    <t>Demoliciones varias muros en concretos, bases, otros</t>
  </si>
  <si>
    <t xml:space="preserve">Demolicion Concreto Asfaltico </t>
  </si>
  <si>
    <t>Excavaciones en material Conglomerado,petreo etc.</t>
  </si>
  <si>
    <t>Afirmado  para andenes compactos e= 0,10 m.</t>
  </si>
  <si>
    <t xml:space="preserve">Material sub-base tipo INVIAS E= 0,20 incluye densidades y proctor </t>
  </si>
  <si>
    <t>Instalacion tuberia corrugada PVC-S  de 160 mm (6"), Incluye manejos de aguas en zanjas.</t>
  </si>
  <si>
    <t>Instalacion tuberia corrugada PVC-S  de 315 mm (24"),Incluye manejos de aguas en zanjas.</t>
  </si>
  <si>
    <t>Instalacion tuberia corrugada PVC-S  de 250 mm (12"), Incluye manejos de aguas en zanja.</t>
  </si>
  <si>
    <t>Cajas de Inspeccion de 0,50 x 0,50 x 0,80, incluye tapa en concreto reforzado e=0,10m.</t>
  </si>
  <si>
    <t>Losa en concreto reforzado de 1.60 x1.60 x 0,18m, incluye Acero de Refuerzo doble parrilla cada 15 cms , acelerante y antisol</t>
  </si>
  <si>
    <t>Instalacion de silla yee de 24 x 6"</t>
  </si>
  <si>
    <t>Instalación de tubería PVC_P  3" RDE 21 Incluye control y manejos de aguas.</t>
  </si>
  <si>
    <t xml:space="preserve">Instalación de Hidrante 3" Completo incluye accesorios.  </t>
  </si>
  <si>
    <t>Instalación de Válvula Compuerta elástica vástago no ascendente 3"</t>
  </si>
  <si>
    <t>Caja para Válvula de 0,80x0,80 en concreto de 3000 psi incluye tapa reforzada + acero de refuerzo+ bosin para valvula 3".</t>
  </si>
  <si>
    <t xml:space="preserve">Domiciliaria para Acueducto completa, incluye collarin de 3x1/2", manguera PF 1/2", union o adaptador 1/2", empalme al medidor localizado en el anden hasta el tubo madre. </t>
  </si>
  <si>
    <t>Empalmes a red Principal existentes</t>
  </si>
  <si>
    <t>Dispersión  de material sobrante</t>
  </si>
  <si>
    <t>Instalación de tubería de polietileno de 8" incluye sobre acarreo en vehículo y al hombro</t>
  </si>
  <si>
    <t>Instalación de tubería de polietileno de 10" incluye sobre acarreo en vehículo y al hombro</t>
  </si>
  <si>
    <t>Instalación de porta flanches incluye sobre acarreo en vehículo y al hombro</t>
  </si>
  <si>
    <t>Empalmes a tubería existente</t>
  </si>
  <si>
    <t>Anclajes de tubería, incluye tubería metálica de 1" y 1/2" (cuatro pedazos de 1.5 mts y alambre galvanizado)</t>
  </si>
  <si>
    <t>Instalacion de reduccion de 8" a 6" y de 10" a 8" incluye sobre acarreo en vehículo y al hombro</t>
  </si>
  <si>
    <t xml:space="preserve">CONSTRUCCION DE LA RED DE ACUEDUCTO EN EL SECTOR DE LA GREGORITA A ESCUELA ALTO CEILAN EN EL MUNICIPIO DE NEIRA </t>
  </si>
  <si>
    <t>CANTIDADES CONTRACTUALES</t>
  </si>
  <si>
    <t>CANT</t>
  </si>
  <si>
    <t>LOCALIZACIÓN Y REPLANTEO ( INCLUYE PLANO RÉCORD) CON GPS</t>
  </si>
  <si>
    <t>INSTALACION VALLA INSTITUCIONAL 2*4</t>
  </si>
  <si>
    <t>EXCAVACIÓN</t>
  </si>
  <si>
    <t>MATERIAL COMÚN - 0.0 A 2.0 M. ( ancho 0,30 x 0,80 profunidad)</t>
  </si>
  <si>
    <t>M³</t>
  </si>
  <si>
    <t>RETIRO DE MATERIAL SOBRANTE EN VEHICULO AUTOMOTOR</t>
  </si>
  <si>
    <t>INSTALACION TUBERIA PVC 2"</t>
  </si>
  <si>
    <t>4,,3</t>
  </si>
  <si>
    <t>INSTALACION TUBERIA PVC 1"</t>
  </si>
  <si>
    <t>INSTALACION DE VALVULAS</t>
  </si>
  <si>
    <t>CAJA PARA VALVULA DE 0,8 POR 0,8 POR H CON TAPA</t>
  </si>
  <si>
    <t>EMPALME TUBERIA EXISTENTE</t>
  </si>
  <si>
    <t>INSTALACION MACROMEDIDOR DE 2"</t>
  </si>
  <si>
    <t>INSTALACION VENTOSAS DE 2"</t>
  </si>
  <si>
    <t>ARENA PARA BASE Y ATRAQUE</t>
  </si>
  <si>
    <t>LLENO COMPACTADO CON MATERIAL DE OBRA</t>
  </si>
  <si>
    <t>AFIRMADO COMPACTADO</t>
  </si>
  <si>
    <t>CONCRETO PARA ANCLAJES</t>
  </si>
  <si>
    <t>ACOMPAÑAMIENTO SOCIAL DURANTE TODA LA OBRA</t>
  </si>
  <si>
    <t>IVA/UTILIDADES</t>
  </si>
  <si>
    <t>Sub-base tipo INVIAS compacto, Incluye Densidades, protor modificado, espesor 0,25 m</t>
  </si>
  <si>
    <t>Pavimento completo en concreto producido en obra de MR 42, incluye (Acelerante + antisol) franja acolillada e= 0,18</t>
  </si>
  <si>
    <t xml:space="preserve">Instalacion de tuberia PVC de 10 incluye  transporte en vehículo y  al hombro </t>
  </si>
  <si>
    <t>Instalación de válvula de lavado de 4" incluye sobre acarreo de válvula, tee de 10"  y acoples</t>
  </si>
  <si>
    <t>Instalación de válvula ventosa de 1" incluye sobre acarreo de válvula, suministro de niples de pulgada</t>
  </si>
  <si>
    <t>Concreto a 210kg/cm2 para anclar válvula de lavado, re, recubrimiento de tubería y anclajes incluye formaleta y sobre acarreo en vehículo y al hombro</t>
  </si>
  <si>
    <t xml:space="preserve">COSTO DIRECTO </t>
  </si>
  <si>
    <t xml:space="preserve">ADMINISTRACION </t>
  </si>
  <si>
    <t xml:space="preserve">IMPREVISTOS </t>
  </si>
  <si>
    <t xml:space="preserve">UTILIDADES </t>
  </si>
  <si>
    <t xml:space="preserve">IVA  SOBRE UTILIDADES </t>
  </si>
  <si>
    <t>Entibado horizontal Tipo II</t>
  </si>
  <si>
    <t xml:space="preserve">Relleno con material de préstamo </t>
  </si>
  <si>
    <t>Instalación de tubería PVC corrugada de 12"</t>
  </si>
  <si>
    <t>Instalación de Valvulas</t>
  </si>
  <si>
    <t>Suministro  e instalacion de tuberia de 8" con tapa tipo chorote para accionamiento de valvula</t>
  </si>
  <si>
    <t xml:space="preserve">Concreto para pavimento MR 42 </t>
  </si>
  <si>
    <t>CONSTRUCCIÓN DE LA RED DE ALCANTARILLADO EN LA CARRERA 4 ENTRE CALLES 30 A 31A Y CALLE 30 ENTRE CARRERAS 3 Y 4 BARRIO EL PENSIL EN EL MUNICIPIO DE ANSERMA CALDAS</t>
  </si>
  <si>
    <t>Instalacion Tuberia PVC Corrugada 18" para Alcantarillado</t>
  </si>
  <si>
    <t>Instalación de silletas de 18"*6" incluye suministro y aplicación de adhesivo con 0,33 de 1/4 de galón  por silleta.</t>
  </si>
  <si>
    <t>Instalacion de tubo para caja valvula incluye tapa tipo chorote</t>
  </si>
  <si>
    <t>Concreto para pavimento MR 42</t>
  </si>
  <si>
    <t>Empalmes a tuberia existente</t>
  </si>
  <si>
    <t xml:space="preserve">Anclajes de empalmes con tubería acero galvanizado de 2" y alambre acero  galvanizado ( 4 pilotes  L = 1,50 m) </t>
  </si>
  <si>
    <t>Reposición de alcantarillado San Carlos I sector canal en el municipio de Chinchina Caldas</t>
  </si>
  <si>
    <t xml:space="preserve">Localización y replanteo </t>
  </si>
  <si>
    <t xml:space="preserve">Suministro e instalación de tapa con aro pozo de inspección en HF  D=0.60cm  </t>
  </si>
  <si>
    <t>Instalación de silletas de 14"x6"</t>
  </si>
  <si>
    <t>Malla eltro soldada de 5mm hueco de 0.15cm por 0.15cm</t>
  </si>
  <si>
    <t xml:space="preserve">COSTO TOTAL </t>
  </si>
  <si>
    <t>Señales Verticales preventivas metálicas(Desvio, hombres trabajando, etc.)</t>
  </si>
  <si>
    <t xml:space="preserve"> Instalacion tuberia corrugada PVC-S  de 160 mm (6")  S-8. Incluye manejo de aguas</t>
  </si>
  <si>
    <t>Instalacion tuberia corrugada PVC-S  de 355 mm (14") S-8. Incluye Manejo de aguas</t>
  </si>
  <si>
    <t>Instalacion  tuberia corrugada PVC-S  de 250 mm (10")  S-8. Incluye manejo de aguas.</t>
  </si>
  <si>
    <t xml:space="preserve">Instalacion de silla yee de 14 x 6", Incluye  torton en alambre galvanizado y adhesivo </t>
  </si>
  <si>
    <t>COSTO TOAL OBRA</t>
  </si>
  <si>
    <t xml:space="preserve">COSTO TOTAL OBRA </t>
  </si>
  <si>
    <t xml:space="preserve">Instalación silleta yee de empalme para PVC  24"x6" incluye Adhesivo </t>
  </si>
  <si>
    <t>Rellenos compatados con material de cantera de prestamo</t>
  </si>
  <si>
    <t>Instalacion de Valvulas de 3"</t>
  </si>
  <si>
    <t xml:space="preserve">REPOSICIÓN Y OPTIMIZACIÓN DE LA RED DE ACUEDUCTO, LOCALIZADO EN LA SALIDA A MACIAS  CALLE 5 EN EL MUNICIPIO DE SAMANA - CALDAS.- </t>
  </si>
  <si>
    <t xml:space="preserve">Suministro e instalación de tubería HG Diámetro 3" </t>
  </si>
  <si>
    <t xml:space="preserve">Suministro e Instalación de Acometida de 1/2" desde el tubo madre hasta el medidor, Incluye manguera PF+UAD de 1/2", Acoples collarin  3 x 1/2" y Accesorios que requiera la acometida terminada. </t>
  </si>
  <si>
    <t xml:space="preserve">Instalación de Válvula  3" </t>
  </si>
  <si>
    <t>9.6</t>
  </si>
  <si>
    <t xml:space="preserve">Concreto MR 42 </t>
  </si>
  <si>
    <t xml:space="preserve"> Retiro de roca suelta presente en la excavación (incluye el suministro de sogas, teleras diferenciales y cualquier equipo para su retiro)  0-2 M </t>
  </si>
  <si>
    <t xml:space="preserve">Retiro de roca suelta presente en la excavación (incluye el suministro de sogas, teleras diferenciales y cualquier equipo para su retiro)  0 -2 M </t>
  </si>
  <si>
    <t>Retiro de roca suelta presente en la excavación (incluye el suministro de sogas, teleras diferenciales y cualquier equipo para su retiro)  0 -2 M</t>
  </si>
  <si>
    <t xml:space="preserve">Instalación empalme pvc corrugado  de 250mm x 160 mm  (10"x6")  incluye adhesivo </t>
  </si>
  <si>
    <t xml:space="preserve">Instalación empaleme pvc corrugado  de 315mm x 160 mm  (12"x6") incluye adhesivo </t>
  </si>
  <si>
    <t xml:space="preserve">Reposición redes acueducto </t>
  </si>
  <si>
    <t xml:space="preserve">Instalación empalme pvc corrugado  de 315mm x 160 mm  (12"x6") incluye adhesivo </t>
  </si>
  <si>
    <t>Instalación de tubería PVC presión RDE 21 de 4" incluye instalación de tees, codos y accesorios y transporte desde la planta al sitio de instalación.</t>
  </si>
  <si>
    <t>Instalacion de acometidas de 1/2" desde el tubo principal de 4" hasta el medidor</t>
  </si>
  <si>
    <t>Entibado horizontal tipo I</t>
  </si>
  <si>
    <t>Instalación de tubería PVC corrugada de 14"</t>
  </si>
  <si>
    <t>Suministro  e istalacion de tuberia de 8" con tapa tipo chorote para accionamiento de valvula</t>
  </si>
  <si>
    <t xml:space="preserve">Concreto para pavimento  MR 42 </t>
  </si>
  <si>
    <t>Concreto 280 Kg/cm2  Incluye sobreacarrero al hombro o mula</t>
  </si>
  <si>
    <t>Estructura metálica de figura de linea de vida   Incluye sobreacarrero al hombro o mula</t>
  </si>
  <si>
    <t>Acero de refuerzo   Incluye sobreacarrero al hombro o mula</t>
  </si>
  <si>
    <t>Suministro  e instalacion de tuberia de 8" con  Tapa tipo chorote para accionamiento de valvula</t>
  </si>
  <si>
    <t>Transporte e Instalación Tubería PVC Corrugada de 315 mm (12") Unión Caucho para Alcantarillado. Incluye sobreacarreo al hombro y/o mula a más de 80 m</t>
  </si>
  <si>
    <t>Transporte e Instalación Tubería PVC Corrugada de 24" Unión Caucho para Alcantarillado. Incluye sobreacarreo al hombro y/o mula a más de 80 m</t>
  </si>
  <si>
    <t>Suministro, Transporte e Instalación de Concreto 3000 psi (21 Mpa) para Cabezal de entrega de aguas. Incluye formaleta</t>
  </si>
  <si>
    <t>Suministro, Transporte e Instalación de Acero de Refuerzo de ¼" a 1¼" de 420 Mpa (4200 Kg/cm2). Incluye sobreacarreo al hombro y/o mula a más de 80 m</t>
  </si>
  <si>
    <t>Sobreacarreo y transporte del concreto requerido en obra al hombro y/o mula - acarreos a más de 80 m</t>
  </si>
  <si>
    <t>m3-Hm</t>
  </si>
  <si>
    <t>Pilotines en concreto. Diámetro 0.350 m. Incluye concreto f'c = 21 Mpa, Incluye Perforación y Refuerzo (10 Kg/ml). Incluye sobreacarreo del acero al hombro y/o mula a más de 80 m</t>
  </si>
  <si>
    <t>Estructura metálica para viaducto. Incluye silletas, acabado con base epóxica y esmalte epóxico. Incluye sobreacarreo al hombro y/o mula a más de 80 m</t>
  </si>
  <si>
    <t>Suministro, Transporte  E Instalación Valla Informaativa General Del  Proyecto</t>
  </si>
  <si>
    <t>Suministro, Transporte E Instalacion  Campamento Provisional</t>
  </si>
  <si>
    <t>Excavaciones a mano o maquina de 0.00 m a 4.0 m</t>
  </si>
  <si>
    <t>Suministro, Transporte  E Instalacion Peldaños para camara en acero de 3/4", desarrollo  75cm. Incluye perforacion con broca 7/8"y epoxico sikadur 42 anclaje</t>
  </si>
  <si>
    <t>2.16</t>
  </si>
  <si>
    <t>Concreto Caja de entrada 28 Mpa</t>
  </si>
  <si>
    <t>Suministro e Instalación de Pasamuro en Tubería HD 6"  z 150mm l= 600 mm ext brida . Liso</t>
  </si>
  <si>
    <t>Suministro e Instalación de Pasamuro en Tubería HD 4"  z 150mm l= 600 mm ext brida . Liso</t>
  </si>
  <si>
    <t xml:space="preserve"> Valvula  mariposa con disco en acero inoxidable con actuador tipo palanca de  Ø 6" de Bridas - Incluye el suministro e instalacion de los empaques y tornillos</t>
  </si>
  <si>
    <t>Reventilaciones tanque 3" en HG Incluye accesorios</t>
  </si>
  <si>
    <t>TUBERIAS DE DESAGUE</t>
  </si>
  <si>
    <t xml:space="preserve"> Tubería Pvc Alcantarillado doble pared union mecanica 250 m.m. (10")   </t>
  </si>
  <si>
    <t>IVA SOBRE UTILIDAD DEL 19%</t>
  </si>
  <si>
    <t xml:space="preserve">Manejo-Movilización Escombros/Sobrantes Vehículo Automotor </t>
  </si>
  <si>
    <t>Afirmado en Material Granular Seleccionado subbase tipo INVIAS compactado al 95% del Proctor modificado</t>
  </si>
  <si>
    <t xml:space="preserve">Rellenos Compactados con Material de Obra                </t>
  </si>
  <si>
    <t>Concreto Ciclopeo</t>
  </si>
  <si>
    <t>Concreto para Muros  de 28MPa con impermeabilizante integral. Incluye sobreacarreo al hombro y/o mula.</t>
  </si>
  <si>
    <t>Placa de cubierta en concreto 28MPa. Incluye sobreacarreo al hombro y/o mula.</t>
  </si>
  <si>
    <t>Viga de cubierta 28mpa. Incluye sobreacarreo al hombro y/o mula.</t>
  </si>
  <si>
    <t>Estructuras varias en concreto 28MPa. Incluye sobreacarreo al hombro y/o mula.</t>
  </si>
  <si>
    <t>Concreto de Columnas 28 mpa. Incluye sobreacarreo al hombro y/o mula.</t>
  </si>
  <si>
    <t>Acero de Refuerzo de 1/2" a 1 1/4" de 420 Mpa (4200 Kg/cm2)  o 60000 psi. Incluye sobreacarreo al hombro y/o mula.</t>
  </si>
  <si>
    <t>Junta PVC 22cm</t>
  </si>
  <si>
    <t>SECCIONAL KILOMETRO 41</t>
  </si>
  <si>
    <t xml:space="preserve">Transporte e Instalación de Válvula de 4" HD Compuerta de Bridas - Incluye el suministro e instalacion de una brida plastica </t>
  </si>
  <si>
    <r>
      <t>m</t>
    </r>
    <r>
      <rPr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/>
    </r>
  </si>
  <si>
    <r>
      <t>m</t>
    </r>
    <r>
      <rPr>
        <vertAlign val="superscript"/>
        <sz val="10"/>
        <rFont val="Arial"/>
        <family val="2"/>
      </rPr>
      <t>3</t>
    </r>
  </si>
  <si>
    <t>Transporte e Instalación Ventosa (incluye la instalación de los accesorios)</t>
  </si>
  <si>
    <t>Construcción de Cámara en Concreto reforzado 210 Kg/cm2 - incluye formaleta</t>
  </si>
  <si>
    <t>Construccion de paso subfluvial en concreto de 3000 psi</t>
  </si>
  <si>
    <t>REPOSICIÓN Y OPTIMIZACIÓN DE LA RED DE ACUEDUCTO Y ALCANTARILLADO, LOCALIZADO EN LA CALLE 6 CARRERAS 8 A 9 Y REPOSISIÓN DEL ACUEDUCTO EN LA CRA 9 ENTRE CALLES  6 Y 7  PARQUE PRINCIPAL DEL MUNICIPIO DE SAMANA, CALDAS.</t>
  </si>
  <si>
    <t xml:space="preserve">TANQUE DE ALMACENAMIENTO  km 41 </t>
  </si>
  <si>
    <r>
      <t>m</t>
    </r>
    <r>
      <rPr>
        <vertAlign val="superscript"/>
        <sz val="10"/>
        <rFont val="Arial"/>
        <family val="2"/>
      </rPr>
      <t>2</t>
    </r>
  </si>
  <si>
    <t xml:space="preserve">SUB TOTAL ANSERMA </t>
  </si>
  <si>
    <t xml:space="preserve">SUB  TOTAL BELALCAZAR </t>
  </si>
  <si>
    <t>TOTAL GRUPO II</t>
  </si>
  <si>
    <t xml:space="preserve"> Barrera con Bombones Plásticos, Cinta de Seguridad y Yute para cerramiento </t>
  </si>
  <si>
    <t xml:space="preserve"> Localización y Replanteo ( incluye  topografia y plano récord)</t>
  </si>
  <si>
    <t xml:space="preserve">Roceria, Limpieza y Descapote y evacuación de sobrantes </t>
  </si>
  <si>
    <t xml:space="preserve"> Excavación Manual en Zanja - Material Común - 0.0 a 2.0 Mt</t>
  </si>
  <si>
    <t xml:space="preserve">Rellenos Compactados con Material de Obra </t>
  </si>
  <si>
    <t>Cámara Circular de Inspección/Caida D=1.20 m en Concreto 21  Mpa</t>
  </si>
  <si>
    <t>Base-Cañuela  Cámara Circular Inspec D = 1.20 m en Concreto 21 Mpa</t>
  </si>
  <si>
    <t xml:space="preserve"> Aro-Tapa con tapa HF D = 0,60 m. p/Cámara de Inspección </t>
  </si>
  <si>
    <t xml:space="preserve"> Concreto para cabezote de entrega de 28 Mpa</t>
  </si>
  <si>
    <t>Ml</t>
  </si>
  <si>
    <t>m³</t>
  </si>
  <si>
    <t xml:space="preserve">SUB TOTAL ARAUCA </t>
  </si>
  <si>
    <t xml:space="preserve">SUB TOTAL KM41 </t>
  </si>
  <si>
    <t xml:space="preserve">SUB TOTAL CHINCHINA </t>
  </si>
  <si>
    <t xml:space="preserve">TOTAL GRUPO I </t>
  </si>
  <si>
    <t xml:space="preserve">GRUPO I   ARAUCA - KM 41 - CHINCHINA </t>
  </si>
  <si>
    <t xml:space="preserve">GRUPO II BELALCAZAR - ANSERMA </t>
  </si>
  <si>
    <t xml:space="preserve">GRUPO III    DORADA - VICTORIA -SAMANA </t>
  </si>
  <si>
    <t>REPOSICION DE LA RED DE  ACUEDUCTO Y ALCANTARILLADO EN LA CALLE  26 ENTRE CARRERAS 8 Y  9 EN EL MUNICIPIO DE SUPIA CALDAS</t>
  </si>
  <si>
    <t xml:space="preserve">SUB TOTAL DORADA </t>
  </si>
  <si>
    <t xml:space="preserve">SUB TOTAL VICTORIA </t>
  </si>
  <si>
    <t xml:space="preserve">SUB TOTAL  SAMANA </t>
  </si>
  <si>
    <t>9.7</t>
  </si>
  <si>
    <t xml:space="preserve">GRUPO IV  RIOSUCIO - SUPIA </t>
  </si>
  <si>
    <r>
      <rPr>
        <sz val="10"/>
        <color theme="1"/>
        <rFont val="Arial"/>
        <family val="2"/>
      </rPr>
      <t>m</t>
    </r>
    <r>
      <rPr>
        <vertAlign val="superscript"/>
        <sz val="10"/>
        <color theme="1"/>
        <rFont val="Arial"/>
        <family val="2"/>
      </rPr>
      <t>3</t>
    </r>
  </si>
  <si>
    <t>TOTAL GRUPO IV</t>
  </si>
  <si>
    <t>TOTAL GRUPO III</t>
  </si>
  <si>
    <t xml:space="preserve">SUB TOTAL RIOSUCIO </t>
  </si>
  <si>
    <t xml:space="preserve">SUB TOTAL SUPIA </t>
  </si>
  <si>
    <t xml:space="preserve">GRUPO V AGUADAS  NEIRA SALAMINA </t>
  </si>
  <si>
    <t xml:space="preserve">SUB TOTAL AGUADAS </t>
  </si>
  <si>
    <t xml:space="preserve">SUB TOTAL NEIRA </t>
  </si>
  <si>
    <t xml:space="preserve">SUB TOTAL  SALAMINA </t>
  </si>
  <si>
    <t>TOTAL GRUPO V</t>
  </si>
  <si>
    <t>Vigas de cimentacion de 28 Mpa. Incluye sobreacarreo al hombro y/o mula.</t>
  </si>
  <si>
    <t xml:space="preserve">Reparaciones varias Bocatoma Campoalegre Chinchiná Conducción Campoalegre </t>
  </si>
  <si>
    <t>Concreto ciclopeo para recalce de presa y conducción    Incluye sobreacarrero al hombro o mula</t>
  </si>
  <si>
    <t>Transporte e instalacion Tuberia PVC Corrugada 315mm (12") para Alcantarillado</t>
  </si>
  <si>
    <t>Instalación de Tubería PVC-P de 3" RDE 21 200 PSI.</t>
  </si>
  <si>
    <t>Instalacion Tuberia PVC Corrugada 24"para Alcantarillado</t>
  </si>
  <si>
    <t>Instalación empalme pvc corrugado  de  24 X 6" Incluye adhesivo</t>
  </si>
  <si>
    <t>Cambio red acueducto conducción sector aguas frías  en el municipio de Neira Caldas</t>
  </si>
  <si>
    <t xml:space="preserve">Construccion de camara ovalada para ventosa incluye tapa metalica y sobre acarrero de materiales en vehiculo y al hombro H = 1,20m  D = 1,20m </t>
  </si>
  <si>
    <t xml:space="preserve">Construccion de camara ovalada para ventosa incluye tapa metalica y sobre acarrero de materiales en vehiculo y al hombro  H = 1,20m  D = 1,20m </t>
  </si>
  <si>
    <t xml:space="preserve">Caja para Ventosa en concreto 21 Mpa producido en obra - incluye instalacion de aro y tapa completa en HF D=0.60 H = 1,20m D= 1,20m </t>
  </si>
  <si>
    <t>Caja ovalada para Válvula Purga de 2" en concreto 21 Mpa producido en obra - incluye suministro, transporte e instalacion de aro y tapa completa en HF D=0.60  H = 1,20m  D= 1,20 m</t>
  </si>
  <si>
    <t xml:space="preserve">Caja para ventosa ovalada completa con tapa metálica  H 1,20m D = 0,60 m </t>
  </si>
  <si>
    <t>Concreto losa de cimentación  de 28Mpa con impermeabilizante integral. Incluye sobreacarreo al hombro y/o mula.</t>
  </si>
  <si>
    <t>Suministro  e instalacion de tuberia de 2" con tapa tipo chorote para accionamiento de valvula</t>
  </si>
  <si>
    <t>Instalacion Tuberia PVC Corrugada  (18") para Alcantarillado</t>
  </si>
  <si>
    <t>Reposicion tuberia de acueducto conduccion Arauca , calle larga 300 mts, finca la Serrania 204mts, los arastres 192 mts, la marranera 192 mts en el corregimiento de Arauca municipio de Palestina Caldas</t>
  </si>
  <si>
    <t xml:space="preserve">CONSTRUCCION INTERCEPTORES-COLECTORES PSMV BELALCAZAR - ETAPA 1 TRAMO CAMARA DESDE LA VEREDA LA CRISTALINA FINCA EL MIRADOR HASTA EL SECTOR DEL MATADERO MUNICIPAL </t>
  </si>
  <si>
    <t>Reposición de alcantarillado carrera 7 con calles 11  y 12  en el municipio de Riosucio Caldas</t>
  </si>
  <si>
    <t>Instalación e tubería PVC corrugada de 16"</t>
  </si>
  <si>
    <t>Instalación de silletas de 16"x6"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</si>
</sst>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 * #,##0_ ;_ * \-#,##0_ ;_ * &quot;-&quot;??_ ;_ @_ "/>
    <numFmt numFmtId="168" formatCode="_-&quot;$&quot;* #,##0.00_-;\-&quot;$&quot;* #,##0.00_-;_-&quot;$&quot;* &quot;-&quot;??_-;_-@_-"/>
    <numFmt numFmtId="169" formatCode="_-&quot;$&quot;* #,##0_-;\-&quot;$&quot;* #,##0_-;_-&quot;$&quot;* &quot;-&quot;??_-;_-@_-"/>
    <numFmt numFmtId="170" formatCode="0.0"/>
    <numFmt numFmtId="171" formatCode="_(* #,##0.0_);_(* \(#,##0.0\);_(* &quot;-&quot;??_);_(@_)"/>
    <numFmt numFmtId="172" formatCode="_ &quot;$&quot;\ * #,##0.00_ ;_ &quot;$&quot;\ * \-#,##0.00_ ;_ &quot;$&quot;\ * &quot;-&quot;??_ ;_ @_ "/>
    <numFmt numFmtId="173" formatCode="_ [$$-2C0A]\ * #,##0_ ;_ [$$-2C0A]\ * \-#,##0_ ;_ [$$-2C0A]\ * &quot;-&quot;_ ;_ @_ "/>
    <numFmt numFmtId="174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</cellStyleXfs>
  <cellXfs count="697">
    <xf numFmtId="0" fontId="0" fillId="0" borderId="0" xfId="0"/>
    <xf numFmtId="0" fontId="6" fillId="0" borderId="1" xfId="0" applyFont="1" applyBorder="1" applyAlignment="1">
      <alignment horizontal="justify" wrapText="1"/>
    </xf>
    <xf numFmtId="0" fontId="6" fillId="2" borderId="1" xfId="0" applyFont="1" applyFill="1" applyBorder="1" applyAlignment="1">
      <alignment horizontal="center"/>
    </xf>
    <xf numFmtId="2" fontId="6" fillId="2" borderId="1" xfId="0" applyNumberFormat="1" applyFont="1" applyFill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6" fontId="6" fillId="2" borderId="1" xfId="1" applyNumberFormat="1" applyFont="1" applyFill="1" applyBorder="1" applyAlignment="1">
      <alignment vertical="center"/>
    </xf>
    <xf numFmtId="0" fontId="6" fillId="0" borderId="1" xfId="0" applyFont="1" applyBorder="1"/>
    <xf numFmtId="166" fontId="6" fillId="0" borderId="1" xfId="1" applyNumberFormat="1" applyFont="1" applyBorder="1"/>
    <xf numFmtId="166" fontId="6" fillId="0" borderId="1" xfId="1" applyNumberFormat="1" applyFont="1" applyBorder="1" applyAlignment="1">
      <alignment horizontal="right"/>
    </xf>
    <xf numFmtId="0" fontId="7" fillId="2" borderId="1" xfId="0" applyFont="1" applyFill="1" applyBorder="1" applyAlignment="1">
      <alignment vertical="center"/>
    </xf>
    <xf numFmtId="0" fontId="6" fillId="0" borderId="1" xfId="0" applyFont="1" applyBorder="1" applyAlignment="1">
      <alignment horizontal="justify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2" fontId="7" fillId="0" borderId="1" xfId="0" applyNumberFormat="1" applyFont="1" applyBorder="1"/>
    <xf numFmtId="166" fontId="7" fillId="0" borderId="1" xfId="1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173" fontId="3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3" fillId="0" borderId="1" xfId="9" applyFont="1" applyFill="1" applyBorder="1" applyAlignment="1">
      <alignment horizontal="center"/>
    </xf>
    <xf numFmtId="171" fontId="3" fillId="0" borderId="1" xfId="10" applyNumberFormat="1" applyFont="1" applyFill="1" applyBorder="1" applyAlignment="1">
      <alignment horizontal="center" vertical="center"/>
    </xf>
    <xf numFmtId="165" fontId="3" fillId="0" borderId="1" xfId="10" applyNumberFormat="1" applyFont="1" applyFill="1" applyBorder="1" applyAlignment="1">
      <alignment horizontal="center" vertical="center"/>
    </xf>
    <xf numFmtId="0" fontId="3" fillId="0" borderId="2" xfId="9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vertical="center"/>
    </xf>
    <xf numFmtId="166" fontId="3" fillId="0" borderId="2" xfId="1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right" vertical="center"/>
    </xf>
    <xf numFmtId="164" fontId="10" fillId="0" borderId="1" xfId="1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/>
    </xf>
    <xf numFmtId="39" fontId="3" fillId="0" borderId="1" xfId="1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right" vertical="center" wrapText="1"/>
    </xf>
    <xf numFmtId="39" fontId="11" fillId="0" borderId="1" xfId="1" applyNumberFormat="1" applyFont="1" applyFill="1" applyBorder="1" applyAlignment="1">
      <alignment horizontal="right" vertical="center"/>
    </xf>
    <xf numFmtId="164" fontId="11" fillId="0" borderId="5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64" fontId="3" fillId="0" borderId="1" xfId="1" applyNumberFormat="1" applyFont="1" applyFill="1" applyBorder="1" applyAlignment="1">
      <alignment horizontal="right" vertical="center"/>
    </xf>
    <xf numFmtId="0" fontId="7" fillId="0" borderId="0" xfId="3" applyFont="1" applyFill="1" applyBorder="1"/>
    <xf numFmtId="2" fontId="7" fillId="0" borderId="0" xfId="3" applyNumberFormat="1" applyFont="1" applyFill="1" applyBorder="1"/>
    <xf numFmtId="169" fontId="7" fillId="0" borderId="0" xfId="4" applyNumberFormat="1" applyFont="1" applyFill="1" applyBorder="1"/>
    <xf numFmtId="2" fontId="7" fillId="0" borderId="15" xfId="3" applyNumberFormat="1" applyFont="1" applyFill="1" applyBorder="1" applyAlignment="1">
      <alignment horizontal="center"/>
    </xf>
    <xf numFmtId="169" fontId="7" fillId="0" borderId="16" xfId="4" applyNumberFormat="1" applyFont="1" applyFill="1" applyBorder="1" applyAlignment="1">
      <alignment horizontal="center"/>
    </xf>
    <xf numFmtId="169" fontId="7" fillId="0" borderId="19" xfId="4" applyNumberFormat="1" applyFont="1" applyFill="1" applyBorder="1" applyAlignment="1">
      <alignment horizontal="center"/>
    </xf>
    <xf numFmtId="0" fontId="6" fillId="0" borderId="23" xfId="3" applyFont="1" applyFill="1" applyBorder="1" applyAlignment="1">
      <alignment horizontal="center" vertical="center"/>
    </xf>
    <xf numFmtId="0" fontId="6" fillId="0" borderId="28" xfId="3" applyFont="1" applyFill="1" applyBorder="1" applyAlignment="1">
      <alignment vertical="center" wrapText="1"/>
    </xf>
    <xf numFmtId="0" fontId="6" fillId="0" borderId="23" xfId="3" applyFont="1" applyFill="1" applyBorder="1" applyAlignment="1">
      <alignment horizontal="center"/>
    </xf>
    <xf numFmtId="2" fontId="6" fillId="0" borderId="24" xfId="3" applyNumberFormat="1" applyFont="1" applyFill="1" applyBorder="1"/>
    <xf numFmtId="169" fontId="6" fillId="0" borderId="3" xfId="4" applyNumberFormat="1" applyFont="1" applyFill="1" applyBorder="1" applyAlignment="1"/>
    <xf numFmtId="169" fontId="3" fillId="0" borderId="3" xfId="4" applyNumberFormat="1" applyFont="1" applyFill="1" applyBorder="1" applyAlignment="1"/>
    <xf numFmtId="0" fontId="6" fillId="0" borderId="28" xfId="3" applyFont="1" applyFill="1" applyBorder="1" applyAlignment="1">
      <alignment wrapText="1"/>
    </xf>
    <xf numFmtId="0" fontId="6" fillId="0" borderId="29" xfId="3" applyFont="1" applyFill="1" applyBorder="1" applyAlignment="1">
      <alignment horizontal="center" vertical="center"/>
    </xf>
    <xf numFmtId="0" fontId="6" fillId="0" borderId="59" xfId="3" applyFont="1" applyFill="1" applyBorder="1" applyAlignment="1">
      <alignment vertical="center" wrapText="1"/>
    </xf>
    <xf numFmtId="0" fontId="6" fillId="0" borderId="29" xfId="3" applyFont="1" applyFill="1" applyBorder="1" applyAlignment="1">
      <alignment horizontal="center"/>
    </xf>
    <xf numFmtId="2" fontId="6" fillId="0" borderId="30" xfId="3" applyNumberFormat="1" applyFont="1" applyFill="1" applyBorder="1"/>
    <xf numFmtId="169" fontId="6" fillId="0" borderId="42" xfId="4" applyNumberFormat="1" applyFont="1" applyFill="1" applyBorder="1" applyAlignment="1"/>
    <xf numFmtId="0" fontId="7" fillId="0" borderId="6" xfId="3" applyFont="1" applyFill="1" applyBorder="1" applyAlignment="1">
      <alignment horizontal="center" vertical="center"/>
    </xf>
    <xf numFmtId="0" fontId="7" fillId="0" borderId="41" xfId="3" applyFont="1" applyFill="1" applyBorder="1" applyAlignment="1">
      <alignment wrapText="1"/>
    </xf>
    <xf numFmtId="0" fontId="7" fillId="0" borderId="6" xfId="3" applyFont="1" applyFill="1" applyBorder="1" applyAlignment="1">
      <alignment horizontal="center"/>
    </xf>
    <xf numFmtId="2" fontId="7" fillId="0" borderId="6" xfId="3" applyNumberFormat="1" applyFont="1" applyFill="1" applyBorder="1"/>
    <xf numFmtId="169" fontId="7" fillId="0" borderId="41" xfId="4" applyNumberFormat="1" applyFont="1" applyFill="1" applyBorder="1" applyAlignment="1"/>
    <xf numFmtId="0" fontId="7" fillId="0" borderId="1" xfId="3" applyFont="1" applyFill="1" applyBorder="1" applyAlignment="1">
      <alignment horizontal="left" vertical="center"/>
    </xf>
    <xf numFmtId="0" fontId="7" fillId="0" borderId="1" xfId="3" applyFont="1" applyFill="1" applyBorder="1" applyAlignment="1">
      <alignment horizontal="left" wrapText="1"/>
    </xf>
    <xf numFmtId="0" fontId="7" fillId="0" borderId="1" xfId="3" applyFont="1" applyFill="1" applyBorder="1" applyAlignment="1">
      <alignment horizontal="center"/>
    </xf>
    <xf numFmtId="2" fontId="7" fillId="0" borderId="1" xfId="3" applyNumberFormat="1" applyFont="1" applyFill="1" applyBorder="1"/>
    <xf numFmtId="169" fontId="7" fillId="0" borderId="1" xfId="4" applyNumberFormat="1" applyFont="1" applyFill="1" applyBorder="1" applyAlignment="1">
      <alignment horizontal="left"/>
    </xf>
    <xf numFmtId="169" fontId="7" fillId="0" borderId="1" xfId="4" applyNumberFormat="1" applyFont="1" applyFill="1" applyBorder="1" applyAlignment="1">
      <alignment horizontal="center"/>
    </xf>
    <xf numFmtId="9" fontId="6" fillId="0" borderId="1" xfId="5" applyFont="1" applyFill="1" applyBorder="1" applyAlignment="1">
      <alignment horizontal="center"/>
    </xf>
    <xf numFmtId="0" fontId="6" fillId="0" borderId="1" xfId="3" applyFont="1" applyFill="1" applyBorder="1" applyAlignment="1">
      <alignment wrapText="1"/>
    </xf>
    <xf numFmtId="0" fontId="6" fillId="0" borderId="1" xfId="3" applyFont="1" applyFill="1" applyBorder="1"/>
    <xf numFmtId="169" fontId="6" fillId="0" borderId="1" xfId="4" applyNumberFormat="1" applyFont="1" applyFill="1" applyBorder="1" applyAlignment="1">
      <alignment horizontal="left"/>
    </xf>
    <xf numFmtId="169" fontId="6" fillId="0" borderId="1" xfId="4" applyNumberFormat="1" applyFont="1" applyFill="1" applyBorder="1"/>
    <xf numFmtId="0" fontId="7" fillId="0" borderId="1" xfId="3" applyFont="1" applyFill="1" applyBorder="1" applyAlignment="1"/>
    <xf numFmtId="0" fontId="7" fillId="0" borderId="1" xfId="3" applyFont="1" applyFill="1" applyBorder="1" applyAlignment="1">
      <alignment wrapText="1"/>
    </xf>
    <xf numFmtId="43" fontId="7" fillId="0" borderId="0" xfId="1" applyNumberFormat="1" applyFont="1" applyFill="1" applyBorder="1"/>
    <xf numFmtId="43" fontId="7" fillId="0" borderId="16" xfId="1" applyNumberFormat="1" applyFont="1" applyFill="1" applyBorder="1" applyAlignment="1">
      <alignment horizontal="center"/>
    </xf>
    <xf numFmtId="0" fontId="6" fillId="0" borderId="28" xfId="3" applyFont="1" applyFill="1" applyBorder="1" applyAlignment="1">
      <alignment horizontal="left" wrapText="1"/>
    </xf>
    <xf numFmtId="43" fontId="6" fillId="0" borderId="5" xfId="1" applyNumberFormat="1" applyFont="1" applyFill="1" applyBorder="1"/>
    <xf numFmtId="169" fontId="6" fillId="0" borderId="1" xfId="4" applyNumberFormat="1" applyFont="1" applyFill="1" applyBorder="1" applyAlignment="1">
      <alignment horizontal="right"/>
    </xf>
    <xf numFmtId="0" fontId="6" fillId="0" borderId="28" xfId="3" applyFont="1" applyFill="1" applyBorder="1" applyAlignment="1">
      <alignment horizontal="left" vertical="center" wrapText="1"/>
    </xf>
    <xf numFmtId="169" fontId="6" fillId="0" borderId="1" xfId="4" applyNumberFormat="1" applyFont="1" applyFill="1" applyBorder="1" applyAlignment="1">
      <alignment horizontal="center"/>
    </xf>
    <xf numFmtId="169" fontId="3" fillId="0" borderId="3" xfId="4" applyNumberFormat="1" applyFont="1" applyFill="1" applyBorder="1" applyAlignment="1">
      <alignment horizontal="center"/>
    </xf>
    <xf numFmtId="169" fontId="3" fillId="0" borderId="1" xfId="4" applyNumberFormat="1" applyFont="1" applyFill="1" applyBorder="1" applyAlignment="1">
      <alignment horizontal="right"/>
    </xf>
    <xf numFmtId="0" fontId="6" fillId="0" borderId="28" xfId="3" applyFont="1" applyFill="1" applyBorder="1" applyAlignment="1"/>
    <xf numFmtId="169" fontId="6" fillId="0" borderId="3" xfId="4" applyNumberFormat="1" applyFont="1" applyFill="1" applyBorder="1" applyAlignment="1">
      <alignment horizontal="center"/>
    </xf>
    <xf numFmtId="0" fontId="6" fillId="0" borderId="24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vertical="center" wrapText="1"/>
    </xf>
    <xf numFmtId="0" fontId="7" fillId="0" borderId="53" xfId="3" applyFont="1" applyFill="1" applyBorder="1" applyAlignment="1">
      <alignment horizontal="center" vertical="center"/>
    </xf>
    <xf numFmtId="0" fontId="7" fillId="0" borderId="58" xfId="3" applyFont="1" applyFill="1" applyBorder="1" applyAlignment="1">
      <alignment horizontal="center"/>
    </xf>
    <xf numFmtId="43" fontId="6" fillId="0" borderId="56" xfId="1" applyNumberFormat="1" applyFont="1" applyFill="1" applyBorder="1"/>
    <xf numFmtId="169" fontId="6" fillId="0" borderId="2" xfId="4" applyNumberFormat="1" applyFont="1" applyFill="1" applyBorder="1" applyAlignment="1">
      <alignment horizontal="right"/>
    </xf>
    <xf numFmtId="0" fontId="7" fillId="0" borderId="1" xfId="3" applyFont="1" applyFill="1" applyBorder="1" applyAlignment="1">
      <alignment horizontal="center" vertical="center"/>
    </xf>
    <xf numFmtId="43" fontId="7" fillId="0" borderId="1" xfId="1" applyNumberFormat="1" applyFont="1" applyFill="1" applyBorder="1"/>
    <xf numFmtId="0" fontId="7" fillId="0" borderId="1" xfId="3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166" fontId="7" fillId="0" borderId="1" xfId="3" applyNumberFormat="1" applyFont="1" applyFill="1" applyBorder="1" applyAlignment="1">
      <alignment horizontal="left"/>
    </xf>
    <xf numFmtId="9" fontId="6" fillId="0" borderId="1" xfId="2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/>
    <xf numFmtId="166" fontId="6" fillId="0" borderId="1" xfId="1" applyNumberFormat="1" applyFont="1" applyFill="1" applyBorder="1"/>
    <xf numFmtId="0" fontId="6" fillId="0" borderId="1" xfId="0" applyFont="1" applyFill="1" applyBorder="1" applyAlignment="1">
      <alignment horizontal="justify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left"/>
    </xf>
    <xf numFmtId="2" fontId="7" fillId="0" borderId="1" xfId="0" applyNumberFormat="1" applyFont="1" applyFill="1" applyBorder="1"/>
    <xf numFmtId="166" fontId="7" fillId="0" borderId="1" xfId="1" applyNumberFormat="1" applyFont="1" applyFill="1" applyBorder="1" applyAlignment="1">
      <alignment horizontal="righ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/>
    </xf>
    <xf numFmtId="166" fontId="7" fillId="0" borderId="0" xfId="3" applyNumberFormat="1" applyFont="1" applyFill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3" fontId="7" fillId="0" borderId="1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5" fillId="0" borderId="3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/>
    <xf numFmtId="3" fontId="5" fillId="0" borderId="1" xfId="0" applyNumberFormat="1" applyFont="1" applyFill="1" applyBorder="1" applyAlignment="1"/>
    <xf numFmtId="0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Continuous"/>
    </xf>
    <xf numFmtId="0" fontId="5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justify" wrapText="1"/>
    </xf>
    <xf numFmtId="0" fontId="5" fillId="0" borderId="1" xfId="0" applyNumberFormat="1" applyFont="1" applyFill="1" applyBorder="1" applyAlignment="1">
      <alignment vertical="center" wrapText="1"/>
    </xf>
    <xf numFmtId="166" fontId="6" fillId="0" borderId="1" xfId="1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/>
    </xf>
    <xf numFmtId="166" fontId="6" fillId="0" borderId="1" xfId="1" applyNumberFormat="1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horizontal="right"/>
    </xf>
    <xf numFmtId="9" fontId="7" fillId="0" borderId="1" xfId="2" applyFont="1" applyFill="1" applyBorder="1" applyAlignment="1">
      <alignment horizontal="center"/>
    </xf>
    <xf numFmtId="9" fontId="6" fillId="0" borderId="1" xfId="0" applyNumberFormat="1" applyFont="1" applyFill="1" applyBorder="1"/>
    <xf numFmtId="0" fontId="3" fillId="0" borderId="0" xfId="9" applyFont="1" applyFill="1" applyAlignment="1">
      <alignment horizontal="center"/>
    </xf>
    <xf numFmtId="0" fontId="2" fillId="0" borderId="0" xfId="9" applyFont="1" applyFill="1" applyAlignment="1">
      <alignment horizontal="centerContinuous" vertical="center" wrapText="1"/>
    </xf>
    <xf numFmtId="0" fontId="3" fillId="0" borderId="0" xfId="9" applyFont="1" applyFill="1" applyAlignment="1">
      <alignment horizontal="centerContinuous"/>
    </xf>
    <xf numFmtId="171" fontId="3" fillId="0" borderId="0" xfId="10" applyNumberFormat="1" applyFont="1" applyFill="1" applyAlignment="1">
      <alignment horizontal="center"/>
    </xf>
    <xf numFmtId="165" fontId="3" fillId="0" borderId="0" xfId="10" applyNumberFormat="1" applyFont="1" applyFill="1" applyAlignment="1">
      <alignment horizontal="right"/>
    </xf>
    <xf numFmtId="165" fontId="3" fillId="0" borderId="0" xfId="10" applyFont="1" applyFill="1" applyAlignment="1">
      <alignment horizontal="centerContinuous"/>
    </xf>
    <xf numFmtId="0" fontId="2" fillId="0" borderId="31" xfId="9" applyFont="1" applyFill="1" applyBorder="1" applyAlignment="1">
      <alignment horizontal="center" vertical="center"/>
    </xf>
    <xf numFmtId="0" fontId="2" fillId="0" borderId="31" xfId="9" applyFont="1" applyFill="1" applyBorder="1" applyAlignment="1">
      <alignment horizontal="center" vertical="center" wrapText="1"/>
    </xf>
    <xf numFmtId="171" fontId="2" fillId="0" borderId="31" xfId="10" applyNumberFormat="1" applyFont="1" applyFill="1" applyBorder="1" applyAlignment="1">
      <alignment horizontal="center" vertical="center"/>
    </xf>
    <xf numFmtId="165" fontId="2" fillId="0" borderId="31" xfId="10" applyNumberFormat="1" applyFont="1" applyFill="1" applyBorder="1" applyAlignment="1">
      <alignment horizontal="center" vertical="center"/>
    </xf>
    <xf numFmtId="165" fontId="2" fillId="0" borderId="31" xfId="10" applyFont="1" applyFill="1" applyBorder="1" applyAlignment="1">
      <alignment horizontal="center" vertical="center"/>
    </xf>
    <xf numFmtId="0" fontId="3" fillId="0" borderId="47" xfId="9" applyFont="1" applyFill="1" applyBorder="1" applyAlignment="1">
      <alignment horizontal="center" vertical="center"/>
    </xf>
    <xf numFmtId="0" fontId="2" fillId="0" borderId="47" xfId="9" applyFont="1" applyFill="1" applyBorder="1" applyAlignment="1">
      <alignment horizontal="left" vertical="center" wrapText="1"/>
    </xf>
    <xf numFmtId="0" fontId="2" fillId="0" borderId="47" xfId="9" applyFont="1" applyFill="1" applyBorder="1" applyAlignment="1">
      <alignment horizontal="center" vertical="center"/>
    </xf>
    <xf numFmtId="171" fontId="2" fillId="0" borderId="47" xfId="10" applyNumberFormat="1" applyFont="1" applyFill="1" applyBorder="1" applyAlignment="1">
      <alignment horizontal="center" vertical="center"/>
    </xf>
    <xf numFmtId="165" fontId="2" fillId="0" borderId="47" xfId="10" applyNumberFormat="1" applyFont="1" applyFill="1" applyBorder="1" applyAlignment="1">
      <alignment horizontal="center" vertical="center"/>
    </xf>
    <xf numFmtId="165" fontId="2" fillId="0" borderId="47" xfId="10" applyFont="1" applyFill="1" applyBorder="1" applyAlignment="1">
      <alignment horizontal="center" vertical="center"/>
    </xf>
    <xf numFmtId="0" fontId="2" fillId="0" borderId="6" xfId="9" applyFont="1" applyFill="1" applyBorder="1" applyAlignment="1">
      <alignment horizontal="center" vertical="center"/>
    </xf>
    <xf numFmtId="0" fontId="2" fillId="0" borderId="6" xfId="9" applyFont="1" applyFill="1" applyBorder="1" applyAlignment="1">
      <alignment vertical="center" wrapText="1"/>
    </xf>
    <xf numFmtId="0" fontId="2" fillId="0" borderId="6" xfId="9" applyFont="1" applyFill="1" applyBorder="1" applyAlignment="1">
      <alignment horizontal="center"/>
    </xf>
    <xf numFmtId="171" fontId="2" fillId="0" borderId="6" xfId="10" applyNumberFormat="1" applyFont="1" applyFill="1" applyBorder="1" applyAlignment="1">
      <alignment horizontal="center"/>
    </xf>
    <xf numFmtId="165" fontId="2" fillId="0" borderId="6" xfId="10" applyNumberFormat="1" applyFont="1" applyFill="1" applyBorder="1" applyAlignment="1">
      <alignment horizontal="right"/>
    </xf>
    <xf numFmtId="165" fontId="2" fillId="0" borderId="6" xfId="10" applyFont="1" applyFill="1" applyBorder="1" applyAlignment="1">
      <alignment horizontal="center"/>
    </xf>
    <xf numFmtId="0" fontId="3" fillId="0" borderId="1" xfId="9" applyFont="1" applyFill="1" applyBorder="1" applyAlignment="1">
      <alignment horizontal="left" wrapText="1"/>
    </xf>
    <xf numFmtId="0" fontId="3" fillId="0" borderId="1" xfId="9" applyFont="1" applyFill="1" applyBorder="1" applyAlignment="1">
      <alignment horizontal="center" vertical="center"/>
    </xf>
    <xf numFmtId="0" fontId="3" fillId="0" borderId="1" xfId="9" applyFont="1" applyFill="1" applyBorder="1" applyAlignment="1">
      <alignment horizontal="right" vertical="center"/>
    </xf>
    <xf numFmtId="166" fontId="3" fillId="0" borderId="1" xfId="10" applyNumberFormat="1" applyFont="1" applyFill="1" applyBorder="1" applyAlignment="1">
      <alignment horizontal="right" vertical="center"/>
    </xf>
    <xf numFmtId="166" fontId="3" fillId="0" borderId="1" xfId="10" applyNumberFormat="1" applyFont="1" applyFill="1" applyBorder="1" applyAlignment="1">
      <alignment horizontal="center" vertical="center"/>
    </xf>
    <xf numFmtId="0" fontId="3" fillId="0" borderId="1" xfId="9" applyFont="1" applyFill="1" applyBorder="1" applyAlignment="1">
      <alignment horizontal="left" vertical="center" wrapText="1"/>
    </xf>
    <xf numFmtId="0" fontId="2" fillId="0" borderId="1" xfId="9" applyFont="1" applyFill="1" applyBorder="1" applyAlignment="1">
      <alignment horizontal="left" wrapText="1"/>
    </xf>
    <xf numFmtId="166" fontId="2" fillId="0" borderId="1" xfId="10" applyNumberFormat="1" applyFont="1" applyFill="1" applyBorder="1" applyAlignment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1" xfId="9" applyFont="1" applyFill="1" applyBorder="1" applyAlignment="1">
      <alignment horizontal="left" vertical="center" wrapText="1"/>
    </xf>
    <xf numFmtId="0" fontId="2" fillId="0" borderId="1" xfId="9" applyFont="1" applyFill="1" applyBorder="1" applyAlignment="1">
      <alignment horizontal="center"/>
    </xf>
    <xf numFmtId="0" fontId="3" fillId="0" borderId="1" xfId="9" applyFont="1" applyFill="1" applyBorder="1" applyAlignment="1">
      <alignment vertical="center" wrapText="1"/>
    </xf>
    <xf numFmtId="171" fontId="2" fillId="0" borderId="1" xfId="10" applyNumberFormat="1" applyFont="1" applyFill="1" applyBorder="1" applyAlignment="1">
      <alignment horizontal="center" vertical="center"/>
    </xf>
    <xf numFmtId="166" fontId="2" fillId="0" borderId="1" xfId="10" applyNumberFormat="1" applyFont="1" applyFill="1" applyBorder="1" applyAlignment="1">
      <alignment horizontal="right" vertical="center"/>
    </xf>
    <xf numFmtId="0" fontId="3" fillId="0" borderId="38" xfId="9" applyFont="1" applyFill="1" applyBorder="1" applyAlignment="1">
      <alignment horizontal="center"/>
    </xf>
    <xf numFmtId="0" fontId="2" fillId="0" borderId="39" xfId="9" applyFont="1" applyFill="1" applyBorder="1" applyAlignment="1">
      <alignment horizontal="left" wrapText="1"/>
    </xf>
    <xf numFmtId="0" fontId="3" fillId="0" borderId="39" xfId="9" applyFont="1" applyFill="1" applyBorder="1" applyAlignment="1">
      <alignment horizontal="center" vertical="center"/>
    </xf>
    <xf numFmtId="171" fontId="3" fillId="0" borderId="39" xfId="10" applyNumberFormat="1" applyFont="1" applyFill="1" applyBorder="1" applyAlignment="1">
      <alignment horizontal="center" vertical="center"/>
    </xf>
    <xf numFmtId="166" fontId="3" fillId="0" borderId="39" xfId="10" applyNumberFormat="1" applyFont="1" applyFill="1" applyBorder="1" applyAlignment="1">
      <alignment horizontal="right" vertical="center"/>
    </xf>
    <xf numFmtId="166" fontId="2" fillId="0" borderId="40" xfId="10" applyNumberFormat="1" applyFont="1" applyFill="1" applyBorder="1" applyAlignment="1">
      <alignment horizontal="center" vertical="center"/>
    </xf>
    <xf numFmtId="0" fontId="3" fillId="0" borderId="24" xfId="9" applyFont="1" applyFill="1" applyBorder="1" applyAlignment="1">
      <alignment horizontal="center"/>
    </xf>
    <xf numFmtId="166" fontId="3" fillId="0" borderId="25" xfId="10" applyNumberFormat="1" applyFont="1" applyFill="1" applyBorder="1" applyAlignment="1">
      <alignment horizontal="center" vertical="center"/>
    </xf>
    <xf numFmtId="0" fontId="3" fillId="0" borderId="30" xfId="9" applyFont="1" applyFill="1" applyBorder="1" applyAlignment="1">
      <alignment horizontal="center"/>
    </xf>
    <xf numFmtId="0" fontId="2" fillId="0" borderId="31" xfId="9" applyFont="1" applyFill="1" applyBorder="1" applyAlignment="1">
      <alignment horizontal="left" vertical="center" wrapText="1"/>
    </xf>
    <xf numFmtId="166" fontId="2" fillId="0" borderId="31" xfId="10" applyNumberFormat="1" applyFont="1" applyFill="1" applyBorder="1" applyAlignment="1">
      <alignment horizontal="right" vertical="center"/>
    </xf>
    <xf numFmtId="166" fontId="2" fillId="0" borderId="32" xfId="1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6" fillId="0" borderId="0" xfId="0" applyFont="1" applyFill="1"/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2" fontId="10" fillId="0" borderId="33" xfId="0" applyNumberFormat="1" applyFont="1" applyFill="1" applyBorder="1" applyAlignment="1">
      <alignment horizontal="right" vertical="center"/>
    </xf>
    <xf numFmtId="9" fontId="10" fillId="0" borderId="27" xfId="0" applyNumberFormat="1" applyFont="1" applyFill="1" applyBorder="1" applyAlignment="1">
      <alignment horizontal="right" vertical="center"/>
    </xf>
    <xf numFmtId="164" fontId="10" fillId="0" borderId="5" xfId="1" applyNumberFormat="1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right" vertical="center"/>
    </xf>
    <xf numFmtId="9" fontId="10" fillId="0" borderId="4" xfId="0" applyNumberFormat="1" applyFont="1" applyFill="1" applyBorder="1" applyAlignment="1">
      <alignment horizontal="right" vertical="center"/>
    </xf>
    <xf numFmtId="2" fontId="10" fillId="0" borderId="55" xfId="0" applyNumberFormat="1" applyFont="1" applyFill="1" applyBorder="1" applyAlignment="1">
      <alignment horizontal="right" vertical="center"/>
    </xf>
    <xf numFmtId="9" fontId="10" fillId="0" borderId="50" xfId="0" applyNumberFormat="1" applyFont="1" applyFill="1" applyBorder="1" applyAlignment="1">
      <alignment horizontal="right" vertical="center"/>
    </xf>
    <xf numFmtId="164" fontId="10" fillId="0" borderId="56" xfId="1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2" fontId="11" fillId="0" borderId="4" xfId="0" applyNumberFormat="1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right" vertical="center"/>
    </xf>
    <xf numFmtId="170" fontId="6" fillId="0" borderId="1" xfId="0" applyNumberFormat="1" applyFont="1" applyFill="1" applyBorder="1" applyAlignment="1">
      <alignment horizontal="center" vertical="center"/>
    </xf>
    <xf numFmtId="164" fontId="10" fillId="0" borderId="5" xfId="1" applyNumberFormat="1" applyFont="1" applyFill="1" applyBorder="1" applyAlignment="1">
      <alignment horizontal="right" vertical="center"/>
    </xf>
    <xf numFmtId="164" fontId="10" fillId="0" borderId="56" xfId="1" applyNumberFormat="1" applyFont="1" applyFill="1" applyBorder="1" applyAlignment="1">
      <alignment horizontal="right" vertical="center"/>
    </xf>
    <xf numFmtId="166" fontId="6" fillId="0" borderId="1" xfId="1" applyNumberFormat="1" applyFont="1" applyFill="1" applyBorder="1" applyAlignment="1">
      <alignment horizontal="right"/>
    </xf>
    <xf numFmtId="3" fontId="13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horizontal="left" vertical="top" wrapText="1"/>
    </xf>
    <xf numFmtId="166" fontId="6" fillId="0" borderId="1" xfId="1" applyNumberFormat="1" applyFont="1" applyFill="1" applyBorder="1" applyAlignment="1">
      <alignment wrapText="1"/>
    </xf>
    <xf numFmtId="166" fontId="6" fillId="0" borderId="1" xfId="1" applyNumberFormat="1" applyFont="1" applyFill="1" applyBorder="1" applyAlignment="1">
      <alignment vertical="center" wrapText="1"/>
    </xf>
    <xf numFmtId="1" fontId="6" fillId="0" borderId="1" xfId="0" applyNumberFormat="1" applyFont="1" applyFill="1" applyBorder="1"/>
    <xf numFmtId="0" fontId="7" fillId="0" borderId="0" xfId="0" applyFont="1" applyFill="1" applyBorder="1"/>
    <xf numFmtId="166" fontId="7" fillId="0" borderId="0" xfId="0" applyNumberFormat="1" applyFont="1" applyFill="1" applyBorder="1"/>
    <xf numFmtId="166" fontId="7" fillId="0" borderId="0" xfId="1" applyNumberFormat="1" applyFont="1" applyFill="1" applyBorder="1"/>
    <xf numFmtId="0" fontId="7" fillId="0" borderId="20" xfId="3" applyFont="1" applyFill="1" applyBorder="1" applyAlignment="1">
      <alignment horizontal="center" vertical="center"/>
    </xf>
    <xf numFmtId="0" fontId="7" fillId="0" borderId="21" xfId="3" applyFont="1" applyFill="1" applyBorder="1" applyAlignment="1">
      <alignment horizontal="left"/>
    </xf>
    <xf numFmtId="2" fontId="7" fillId="0" borderId="21" xfId="3" applyNumberFormat="1" applyFont="1" applyFill="1" applyBorder="1" applyAlignment="1">
      <alignment horizontal="center"/>
    </xf>
    <xf numFmtId="169" fontId="7" fillId="0" borderId="6" xfId="4" applyNumberFormat="1" applyFont="1" applyFill="1" applyBorder="1" applyAlignment="1">
      <alignment horizontal="center"/>
    </xf>
    <xf numFmtId="169" fontId="6" fillId="0" borderId="22" xfId="4" applyNumberFormat="1" applyFont="1" applyFill="1" applyBorder="1" applyAlignment="1"/>
    <xf numFmtId="0" fontId="7" fillId="0" borderId="23" xfId="3" applyFont="1" applyFill="1" applyBorder="1" applyAlignment="1">
      <alignment horizontal="center" vertical="center"/>
    </xf>
    <xf numFmtId="0" fontId="7" fillId="0" borderId="28" xfId="3" applyFont="1" applyFill="1" applyBorder="1" applyAlignment="1">
      <alignment wrapText="1"/>
    </xf>
    <xf numFmtId="0" fontId="7" fillId="0" borderId="23" xfId="3" applyFont="1" applyFill="1" applyBorder="1" applyAlignment="1">
      <alignment horizontal="center"/>
    </xf>
    <xf numFmtId="2" fontId="7" fillId="0" borderId="24" xfId="3" applyNumberFormat="1" applyFont="1" applyFill="1" applyBorder="1" applyAlignment="1">
      <alignment horizontal="center"/>
    </xf>
    <xf numFmtId="169" fontId="7" fillId="0" borderId="3" xfId="4" applyNumberFormat="1" applyFont="1" applyFill="1" applyBorder="1" applyAlignment="1"/>
    <xf numFmtId="0" fontId="7" fillId="0" borderId="28" xfId="3" applyFont="1" applyFill="1" applyBorder="1" applyAlignment="1">
      <alignment vertical="center" wrapText="1"/>
    </xf>
    <xf numFmtId="0" fontId="6" fillId="0" borderId="0" xfId="0" applyFont="1" applyFill="1" applyAlignment="1">
      <alignment wrapText="1"/>
    </xf>
    <xf numFmtId="0" fontId="7" fillId="0" borderId="45" xfId="3" applyFont="1" applyFill="1" applyBorder="1" applyAlignment="1">
      <alignment horizontal="center" vertical="center"/>
    </xf>
    <xf numFmtId="0" fontId="7" fillId="0" borderId="38" xfId="3" applyFont="1" applyFill="1" applyBorder="1" applyAlignment="1">
      <alignment horizontal="left"/>
    </xf>
    <xf numFmtId="43" fontId="7" fillId="0" borderId="46" xfId="1" applyNumberFormat="1" applyFont="1" applyFill="1" applyBorder="1" applyAlignment="1">
      <alignment horizontal="center"/>
    </xf>
    <xf numFmtId="169" fontId="7" fillId="0" borderId="39" xfId="4" applyNumberFormat="1" applyFont="1" applyFill="1" applyBorder="1" applyAlignment="1">
      <alignment horizontal="center"/>
    </xf>
    <xf numFmtId="169" fontId="6" fillId="0" borderId="40" xfId="4" applyNumberFormat="1" applyFont="1" applyFill="1" applyBorder="1" applyAlignment="1"/>
    <xf numFmtId="0" fontId="7" fillId="0" borderId="28" xfId="3" applyFont="1" applyFill="1" applyBorder="1" applyAlignment="1"/>
    <xf numFmtId="43" fontId="7" fillId="0" borderId="5" xfId="1" applyNumberFormat="1" applyFont="1" applyFill="1" applyBorder="1" applyAlignment="1">
      <alignment horizontal="center"/>
    </xf>
    <xf numFmtId="169" fontId="7" fillId="0" borderId="1" xfId="4" applyNumberFormat="1" applyFont="1" applyFill="1" applyBorder="1" applyAlignment="1">
      <alignment horizontal="right"/>
    </xf>
    <xf numFmtId="0" fontId="7" fillId="0" borderId="28" xfId="3" applyFont="1" applyFill="1" applyBorder="1" applyAlignment="1">
      <alignment vertical="center"/>
    </xf>
    <xf numFmtId="0" fontId="7" fillId="0" borderId="24" xfId="3" applyFont="1" applyFill="1" applyBorder="1" applyAlignment="1">
      <alignment horizontal="center" vertical="center"/>
    </xf>
    <xf numFmtId="0" fontId="7" fillId="0" borderId="3" xfId="3" applyFont="1" applyFill="1" applyBorder="1" applyAlignment="1"/>
    <xf numFmtId="0" fontId="7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171" fontId="2" fillId="0" borderId="2" xfId="1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37" fontId="3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right" vertical="center"/>
    </xf>
    <xf numFmtId="0" fontId="3" fillId="0" borderId="1" xfId="7" applyNumberFormat="1" applyFont="1" applyFill="1" applyBorder="1" applyAlignment="1">
      <alignment vertical="center" wrapText="1"/>
    </xf>
    <xf numFmtId="3" fontId="3" fillId="0" borderId="1" xfId="7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71" fontId="2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0" fontId="11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right" vertical="center"/>
    </xf>
    <xf numFmtId="37" fontId="11" fillId="0" borderId="4" xfId="1" applyNumberFormat="1" applyFont="1" applyFill="1" applyBorder="1" applyAlignment="1">
      <alignment horizontal="right" vertical="center"/>
    </xf>
    <xf numFmtId="164" fontId="11" fillId="0" borderId="1" xfId="1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37" fontId="3" fillId="0" borderId="0" xfId="1" applyNumberFormat="1" applyFont="1" applyFill="1" applyBorder="1" applyAlignment="1">
      <alignment horizontal="right"/>
    </xf>
    <xf numFmtId="0" fontId="11" fillId="0" borderId="5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 wrapText="1"/>
    </xf>
    <xf numFmtId="0" fontId="11" fillId="0" borderId="5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right" vertical="center" wrapText="1"/>
    </xf>
    <xf numFmtId="37" fontId="11" fillId="0" borderId="50" xfId="1" applyNumberFormat="1" applyFont="1" applyFill="1" applyBorder="1" applyAlignment="1">
      <alignment horizontal="right" vertical="center"/>
    </xf>
    <xf numFmtId="164" fontId="11" fillId="0" borderId="2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right" vertical="center"/>
    </xf>
    <xf numFmtId="39" fontId="3" fillId="0" borderId="0" xfId="1" applyNumberFormat="1" applyFont="1" applyFill="1" applyBorder="1" applyAlignment="1">
      <alignment horizontal="right" vertical="center"/>
    </xf>
    <xf numFmtId="164" fontId="3" fillId="0" borderId="0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37" fontId="3" fillId="0" borderId="0" xfId="1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165" fontId="11" fillId="0" borderId="1" xfId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167" fontId="11" fillId="0" borderId="5" xfId="1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172" fontId="3" fillId="0" borderId="1" xfId="0" applyNumberFormat="1" applyFont="1" applyFill="1" applyBorder="1" applyAlignment="1">
      <alignment horizontal="right" vertical="center"/>
    </xf>
    <xf numFmtId="0" fontId="3" fillId="0" borderId="57" xfId="0" applyFont="1" applyFill="1" applyBorder="1" applyAlignment="1">
      <alignment horizontal="center"/>
    </xf>
    <xf numFmtId="165" fontId="7" fillId="0" borderId="1" xfId="1" applyFont="1" applyFill="1" applyBorder="1" applyAlignment="1">
      <alignment horizontal="center"/>
    </xf>
    <xf numFmtId="166" fontId="6" fillId="0" borderId="25" xfId="1" applyNumberFormat="1" applyFont="1" applyFill="1" applyBorder="1" applyAlignment="1"/>
    <xf numFmtId="166" fontId="6" fillId="0" borderId="32" xfId="1" applyNumberFormat="1" applyFont="1" applyFill="1" applyBorder="1" applyAlignment="1"/>
    <xf numFmtId="166" fontId="7" fillId="0" borderId="1" xfId="1" applyNumberFormat="1" applyFont="1" applyFill="1" applyBorder="1" applyAlignment="1">
      <alignment horizontal="center"/>
    </xf>
    <xf numFmtId="166" fontId="6" fillId="0" borderId="54" xfId="1" applyNumberFormat="1" applyFont="1" applyFill="1" applyBorder="1" applyAlignment="1"/>
    <xf numFmtId="0" fontId="6" fillId="0" borderId="0" xfId="0" applyFont="1" applyAlignment="1">
      <alignment horizontal="center"/>
    </xf>
    <xf numFmtId="165" fontId="6" fillId="0" borderId="0" xfId="1" applyFont="1"/>
    <xf numFmtId="0" fontId="7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/>
    <xf numFmtId="0" fontId="7" fillId="0" borderId="1" xfId="0" applyFont="1" applyBorder="1" applyAlignment="1"/>
    <xf numFmtId="0" fontId="14" fillId="0" borderId="1" xfId="3" applyFont="1" applyFill="1" applyBorder="1" applyAlignment="1">
      <alignment horizontal="left" vertical="center"/>
    </xf>
    <xf numFmtId="0" fontId="14" fillId="0" borderId="1" xfId="3" applyFont="1" applyFill="1" applyBorder="1" applyAlignment="1">
      <alignment horizontal="left"/>
    </xf>
    <xf numFmtId="169" fontId="14" fillId="0" borderId="1" xfId="4" applyNumberFormat="1" applyFont="1" applyFill="1" applyBorder="1" applyAlignment="1">
      <alignment horizontal="center"/>
    </xf>
    <xf numFmtId="9" fontId="13" fillId="0" borderId="1" xfId="2" applyFont="1" applyFill="1" applyBorder="1" applyAlignment="1">
      <alignment horizontal="center"/>
    </xf>
    <xf numFmtId="0" fontId="13" fillId="0" borderId="1" xfId="3" applyFont="1" applyFill="1" applyBorder="1"/>
    <xf numFmtId="0" fontId="14" fillId="0" borderId="1" xfId="3" applyFont="1" applyFill="1" applyBorder="1" applyAlignment="1"/>
    <xf numFmtId="9" fontId="13" fillId="0" borderId="1" xfId="2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vertical="center"/>
    </xf>
    <xf numFmtId="0" fontId="14" fillId="0" borderId="1" xfId="3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7" fillId="0" borderId="3" xfId="3" applyFont="1" applyFill="1" applyBorder="1" applyAlignment="1">
      <alignment horizontal="left" wrapText="1"/>
    </xf>
    <xf numFmtId="166" fontId="14" fillId="0" borderId="1" xfId="1" applyNumberFormat="1" applyFont="1" applyFill="1" applyBorder="1" applyAlignment="1">
      <alignment horizontal="center"/>
    </xf>
    <xf numFmtId="166" fontId="7" fillId="0" borderId="1" xfId="1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center"/>
    </xf>
    <xf numFmtId="169" fontId="14" fillId="0" borderId="1" xfId="4" applyNumberFormat="1" applyFont="1" applyFill="1" applyBorder="1"/>
    <xf numFmtId="0" fontId="3" fillId="0" borderId="4" xfId="0" applyFont="1" applyFill="1" applyBorder="1" applyAlignment="1">
      <alignment vertical="center"/>
    </xf>
    <xf numFmtId="0" fontId="8" fillId="0" borderId="0" xfId="0" applyFont="1" applyFill="1"/>
    <xf numFmtId="166" fontId="8" fillId="0" borderId="0" xfId="0" applyNumberFormat="1" applyFont="1" applyFill="1"/>
    <xf numFmtId="164" fontId="8" fillId="0" borderId="0" xfId="0" applyNumberFormat="1" applyFont="1" applyFill="1"/>
    <xf numFmtId="0" fontId="7" fillId="0" borderId="0" xfId="0" applyFont="1" applyFill="1" applyAlignment="1">
      <alignment horizontal="center"/>
    </xf>
    <xf numFmtId="165" fontId="7" fillId="0" borderId="0" xfId="1" applyFont="1" applyFill="1"/>
    <xf numFmtId="0" fontId="6" fillId="0" borderId="0" xfId="0" applyFont="1" applyFill="1" applyAlignment="1">
      <alignment horizontal="center"/>
    </xf>
    <xf numFmtId="165" fontId="6" fillId="0" borderId="0" xfId="1" applyFont="1" applyFill="1"/>
    <xf numFmtId="0" fontId="7" fillId="0" borderId="1" xfId="0" applyFont="1" applyFill="1" applyBorder="1"/>
    <xf numFmtId="2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wrapText="1"/>
    </xf>
    <xf numFmtId="3" fontId="6" fillId="0" borderId="1" xfId="0" applyNumberFormat="1" applyFont="1" applyFill="1" applyBorder="1" applyAlignment="1">
      <alignment wrapText="1"/>
    </xf>
    <xf numFmtId="3" fontId="6" fillId="0" borderId="1" xfId="0" applyNumberFormat="1" applyFont="1" applyFill="1" applyBorder="1" applyAlignment="1"/>
    <xf numFmtId="170" fontId="6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165" fontId="6" fillId="0" borderId="1" xfId="1" applyFont="1" applyFill="1" applyBorder="1" applyAlignment="1">
      <alignment vertical="center"/>
    </xf>
    <xf numFmtId="0" fontId="7" fillId="0" borderId="6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/>
    <xf numFmtId="0" fontId="7" fillId="0" borderId="1" xfId="0" applyFont="1" applyFill="1" applyBorder="1" applyAlignment="1"/>
    <xf numFmtId="3" fontId="6" fillId="0" borderId="1" xfId="0" applyNumberFormat="1" applyFont="1" applyFill="1" applyBorder="1" applyAlignment="1">
      <alignment horizontal="left" wrapText="1"/>
    </xf>
    <xf numFmtId="3" fontId="7" fillId="0" borderId="1" xfId="0" applyNumberFormat="1" applyFont="1" applyFill="1" applyBorder="1" applyAlignment="1">
      <alignment horizontal="left" wrapText="1"/>
    </xf>
    <xf numFmtId="3" fontId="7" fillId="0" borderId="1" xfId="0" applyNumberFormat="1" applyFont="1" applyFill="1" applyBorder="1" applyAlignment="1"/>
    <xf numFmtId="0" fontId="6" fillId="0" borderId="2" xfId="0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left" wrapText="1"/>
    </xf>
    <xf numFmtId="2" fontId="6" fillId="0" borderId="2" xfId="0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16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/>
    </xf>
    <xf numFmtId="0" fontId="6" fillId="0" borderId="51" xfId="0" applyFont="1" applyFill="1" applyBorder="1"/>
    <xf numFmtId="0" fontId="7" fillId="0" borderId="6" xfId="0" applyFont="1" applyFill="1" applyBorder="1"/>
    <xf numFmtId="0" fontId="6" fillId="0" borderId="52" xfId="0" applyFont="1" applyFill="1" applyBorder="1" applyAlignment="1">
      <alignment horizontal="center"/>
    </xf>
    <xf numFmtId="3" fontId="6" fillId="0" borderId="51" xfId="0" applyNumberFormat="1" applyFont="1" applyFill="1" applyBorder="1" applyAlignment="1">
      <alignment horizontal="center"/>
    </xf>
    <xf numFmtId="0" fontId="7" fillId="0" borderId="50" xfId="0" applyFont="1" applyFill="1" applyBorder="1"/>
    <xf numFmtId="3" fontId="6" fillId="0" borderId="50" xfId="0" applyNumberFormat="1" applyFont="1" applyFill="1" applyBorder="1" applyAlignment="1">
      <alignment horizontal="center"/>
    </xf>
    <xf numFmtId="0" fontId="6" fillId="0" borderId="48" xfId="0" applyFont="1" applyFill="1" applyBorder="1"/>
    <xf numFmtId="3" fontId="6" fillId="0" borderId="1" xfId="0" applyNumberFormat="1" applyFont="1" applyFill="1" applyBorder="1"/>
    <xf numFmtId="16" fontId="6" fillId="0" borderId="1" xfId="0" quotePrefix="1" applyNumberFormat="1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50" xfId="0" applyFont="1" applyFill="1" applyBorder="1" applyAlignment="1">
      <alignment wrapText="1"/>
    </xf>
    <xf numFmtId="2" fontId="6" fillId="0" borderId="50" xfId="0" applyNumberFormat="1" applyFont="1" applyFill="1" applyBorder="1" applyAlignment="1">
      <alignment horizontal="center"/>
    </xf>
    <xf numFmtId="3" fontId="6" fillId="0" borderId="56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2" fontId="7" fillId="0" borderId="7" xfId="3" applyNumberFormat="1" applyFont="1" applyFill="1" applyBorder="1" applyAlignment="1">
      <alignment horizontal="center"/>
    </xf>
    <xf numFmtId="169" fontId="7" fillId="0" borderId="8" xfId="4" applyNumberFormat="1" applyFont="1" applyFill="1" applyBorder="1" applyAlignment="1">
      <alignment horizontal="center"/>
    </xf>
    <xf numFmtId="169" fontId="7" fillId="0" borderId="37" xfId="4" applyNumberFormat="1" applyFont="1" applyFill="1" applyBorder="1" applyAlignment="1">
      <alignment horizontal="center"/>
    </xf>
    <xf numFmtId="0" fontId="7" fillId="0" borderId="34" xfId="3" applyFont="1" applyFill="1" applyBorder="1" applyAlignment="1">
      <alignment horizontal="center" vertical="center"/>
    </xf>
    <xf numFmtId="0" fontId="7" fillId="0" borderId="36" xfId="3" applyFont="1" applyFill="1" applyBorder="1" applyAlignment="1"/>
    <xf numFmtId="0" fontId="7" fillId="0" borderId="35" xfId="3" applyFont="1" applyFill="1" applyBorder="1" applyAlignment="1">
      <alignment horizontal="center" vertical="center"/>
    </xf>
    <xf numFmtId="2" fontId="7" fillId="0" borderId="35" xfId="3" applyNumberFormat="1" applyFont="1" applyFill="1" applyBorder="1" applyAlignment="1">
      <alignment horizontal="center"/>
    </xf>
    <xf numFmtId="169" fontId="7" fillId="0" borderId="36" xfId="4" applyNumberFormat="1" applyFont="1" applyFill="1" applyBorder="1" applyAlignment="1"/>
    <xf numFmtId="169" fontId="6" fillId="0" borderId="19" xfId="4" applyNumberFormat="1" applyFont="1" applyFill="1" applyBorder="1" applyAlignment="1"/>
    <xf numFmtId="0" fontId="6" fillId="0" borderId="6" xfId="3" applyFont="1" applyFill="1" applyBorder="1" applyAlignment="1">
      <alignment horizontal="center" vertical="center"/>
    </xf>
    <xf numFmtId="0" fontId="6" fillId="0" borderId="41" xfId="3" applyFont="1" applyFill="1" applyBorder="1" applyAlignment="1">
      <alignment wrapText="1"/>
    </xf>
    <xf numFmtId="0" fontId="6" fillId="0" borderId="6" xfId="3" applyFont="1" applyFill="1" applyBorder="1" applyAlignment="1">
      <alignment horizontal="center"/>
    </xf>
    <xf numFmtId="2" fontId="6" fillId="0" borderId="6" xfId="3" applyNumberFormat="1" applyFont="1" applyFill="1" applyBorder="1"/>
    <xf numFmtId="169" fontId="6" fillId="0" borderId="41" xfId="4" applyNumberFormat="1" applyFont="1" applyFill="1" applyBorder="1" applyAlignment="1"/>
    <xf numFmtId="0" fontId="6" fillId="0" borderId="1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wrapText="1"/>
    </xf>
    <xf numFmtId="0" fontId="6" fillId="0" borderId="1" xfId="3" applyFont="1" applyFill="1" applyBorder="1" applyAlignment="1">
      <alignment horizontal="center"/>
    </xf>
    <xf numFmtId="2" fontId="6" fillId="0" borderId="1" xfId="3" applyNumberFormat="1" applyFont="1" applyFill="1" applyBorder="1"/>
    <xf numFmtId="0" fontId="6" fillId="0" borderId="3" xfId="3" applyFont="1" applyFill="1" applyBorder="1" applyAlignment="1">
      <alignment horizontal="left" wrapText="1"/>
    </xf>
    <xf numFmtId="0" fontId="6" fillId="0" borderId="42" xfId="3" applyFont="1" applyFill="1" applyBorder="1" applyAlignment="1">
      <alignment horizontal="left" wrapText="1"/>
    </xf>
    <xf numFmtId="169" fontId="3" fillId="0" borderId="42" xfId="4" applyNumberFormat="1" applyFont="1" applyFill="1" applyBorder="1" applyAlignment="1"/>
    <xf numFmtId="0" fontId="6" fillId="0" borderId="41" xfId="3" applyFont="1" applyFill="1" applyBorder="1" applyAlignment="1">
      <alignment vertical="center" wrapText="1"/>
    </xf>
    <xf numFmtId="169" fontId="3" fillId="0" borderId="41" xfId="4" applyNumberFormat="1" applyFont="1" applyFill="1" applyBorder="1" applyAlignment="1"/>
    <xf numFmtId="0" fontId="6" fillId="0" borderId="42" xfId="3" applyFont="1" applyFill="1" applyBorder="1" applyAlignment="1">
      <alignment vertical="center" wrapText="1"/>
    </xf>
    <xf numFmtId="0" fontId="6" fillId="0" borderId="41" xfId="3" applyFont="1" applyFill="1" applyBorder="1" applyAlignment="1">
      <alignment horizontal="left" wrapText="1"/>
    </xf>
    <xf numFmtId="0" fontId="5" fillId="0" borderId="1" xfId="3" applyNumberFormat="1" applyFont="1" applyFill="1" applyBorder="1" applyAlignment="1">
      <alignment horizontal="center"/>
    </xf>
    <xf numFmtId="2" fontId="5" fillId="0" borderId="1" xfId="3" applyNumberFormat="1" applyFont="1" applyFill="1" applyBorder="1" applyAlignment="1"/>
    <xf numFmtId="169" fontId="5" fillId="0" borderId="42" xfId="4" applyNumberFormat="1" applyFont="1" applyFill="1" applyBorder="1" applyAlignment="1"/>
    <xf numFmtId="0" fontId="6" fillId="0" borderId="36" xfId="3" applyFont="1" applyFill="1" applyBorder="1" applyAlignment="1"/>
    <xf numFmtId="169" fontId="3" fillId="0" borderId="36" xfId="4" applyNumberFormat="1" applyFont="1" applyFill="1" applyBorder="1" applyAlignment="1"/>
    <xf numFmtId="0" fontId="6" fillId="0" borderId="36" xfId="3" applyFont="1" applyFill="1" applyBorder="1" applyAlignment="1">
      <alignment vertical="center" wrapText="1"/>
    </xf>
    <xf numFmtId="169" fontId="6" fillId="0" borderId="36" xfId="4" applyNumberFormat="1" applyFont="1" applyFill="1" applyBorder="1" applyAlignment="1"/>
    <xf numFmtId="0" fontId="6" fillId="0" borderId="36" xfId="3" applyFont="1" applyFill="1" applyBorder="1" applyAlignment="1">
      <alignment horizontal="left" vertical="center" wrapText="1"/>
    </xf>
    <xf numFmtId="0" fontId="7" fillId="0" borderId="36" xfId="3" applyFont="1" applyFill="1" applyBorder="1" applyAlignment="1">
      <alignment horizontal="left" wrapText="1"/>
    </xf>
    <xf numFmtId="0" fontId="6" fillId="0" borderId="36" xfId="3" applyFont="1" applyFill="1" applyBorder="1" applyAlignment="1">
      <alignment horizontal="center" vertical="center" wrapText="1"/>
    </xf>
    <xf numFmtId="0" fontId="6" fillId="0" borderId="42" xfId="3" applyFont="1" applyFill="1" applyBorder="1" applyAlignment="1">
      <alignment horizontal="left" vertical="center" wrapText="1"/>
    </xf>
    <xf numFmtId="0" fontId="7" fillId="0" borderId="2" xfId="3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left"/>
    </xf>
    <xf numFmtId="0" fontId="7" fillId="0" borderId="2" xfId="3" applyFont="1" applyFill="1" applyBorder="1" applyAlignment="1">
      <alignment horizontal="center"/>
    </xf>
    <xf numFmtId="2" fontId="7" fillId="0" borderId="2" xfId="3" applyNumberFormat="1" applyFont="1" applyFill="1" applyBorder="1"/>
    <xf numFmtId="0" fontId="7" fillId="0" borderId="3" xfId="3" applyFont="1" applyFill="1" applyBorder="1" applyAlignment="1">
      <alignment horizontal="left"/>
    </xf>
    <xf numFmtId="171" fontId="7" fillId="0" borderId="1" xfId="1" applyNumberFormat="1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center"/>
    </xf>
    <xf numFmtId="166" fontId="6" fillId="0" borderId="1" xfId="1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vertical="center" wrapText="1"/>
    </xf>
    <xf numFmtId="165" fontId="6" fillId="0" borderId="1" xfId="1" applyFont="1" applyFill="1" applyBorder="1" applyAlignment="1">
      <alignment horizontal="center" vertical="center" wrapText="1"/>
    </xf>
    <xf numFmtId="169" fontId="7" fillId="0" borderId="41" xfId="4" applyNumberFormat="1" applyFont="1" applyFill="1" applyBorder="1" applyAlignment="1">
      <alignment horizontal="center"/>
    </xf>
    <xf numFmtId="169" fontId="6" fillId="0" borderId="3" xfId="4" applyNumberFormat="1" applyFont="1" applyFill="1" applyBorder="1" applyAlignment="1">
      <alignment horizontal="right"/>
    </xf>
    <xf numFmtId="169" fontId="3" fillId="0" borderId="3" xfId="4" applyNumberFormat="1" applyFont="1" applyFill="1" applyBorder="1" applyAlignment="1">
      <alignment horizontal="right"/>
    </xf>
    <xf numFmtId="169" fontId="7" fillId="0" borderId="3" xfId="4" applyNumberFormat="1" applyFont="1" applyFill="1" applyBorder="1" applyAlignment="1">
      <alignment horizontal="right"/>
    </xf>
    <xf numFmtId="3" fontId="3" fillId="0" borderId="3" xfId="3" applyNumberFormat="1" applyFont="1" applyFill="1" applyBorder="1" applyAlignment="1">
      <alignment horizontal="right"/>
    </xf>
    <xf numFmtId="169" fontId="7" fillId="0" borderId="3" xfId="4" applyNumberFormat="1" applyFont="1" applyFill="1" applyBorder="1" applyAlignment="1">
      <alignment horizontal="center"/>
    </xf>
    <xf numFmtId="0" fontId="6" fillId="0" borderId="28" xfId="3" applyFont="1" applyFill="1" applyBorder="1" applyAlignment="1">
      <alignment vertical="center"/>
    </xf>
    <xf numFmtId="0" fontId="5" fillId="0" borderId="23" xfId="3" applyNumberFormat="1" applyFont="1" applyFill="1" applyBorder="1" applyAlignment="1">
      <alignment horizontal="center"/>
    </xf>
    <xf numFmtId="2" fontId="5" fillId="0" borderId="21" xfId="3" applyNumberFormat="1" applyFont="1" applyFill="1" applyBorder="1" applyAlignment="1"/>
    <xf numFmtId="169" fontId="5" fillId="0" borderId="3" xfId="4" applyNumberFormat="1" applyFont="1" applyFill="1" applyBorder="1" applyAlignment="1">
      <alignment horizontal="right"/>
    </xf>
    <xf numFmtId="169" fontId="6" fillId="0" borderId="42" xfId="4" applyNumberFormat="1" applyFont="1" applyFill="1" applyBorder="1" applyAlignment="1">
      <alignment horizontal="right"/>
    </xf>
    <xf numFmtId="0" fontId="7" fillId="0" borderId="41" xfId="3" applyFont="1" applyFill="1" applyBorder="1" applyAlignment="1"/>
    <xf numFmtId="43" fontId="7" fillId="0" borderId="5" xfId="6" applyFont="1" applyFill="1" applyBorder="1" applyAlignment="1">
      <alignment horizontal="center"/>
    </xf>
    <xf numFmtId="169" fontId="7" fillId="0" borderId="41" xfId="4" applyNumberFormat="1" applyFont="1" applyFill="1" applyBorder="1" applyAlignment="1">
      <alignment horizontal="right"/>
    </xf>
    <xf numFmtId="0" fontId="7" fillId="0" borderId="30" xfId="3" applyFont="1" applyFill="1" applyBorder="1" applyAlignment="1">
      <alignment horizontal="center" vertical="center"/>
    </xf>
    <xf numFmtId="0" fontId="7" fillId="0" borderId="29" xfId="3" applyFont="1" applyFill="1" applyBorder="1" applyAlignment="1">
      <alignment horizontal="center"/>
    </xf>
    <xf numFmtId="43" fontId="6" fillId="0" borderId="44" xfId="6" applyFont="1" applyFill="1" applyBorder="1"/>
    <xf numFmtId="0" fontId="7" fillId="0" borderId="48" xfId="3" applyFont="1" applyFill="1" applyBorder="1" applyAlignment="1">
      <alignment horizontal="center" vertical="center"/>
    </xf>
    <xf numFmtId="0" fontId="7" fillId="0" borderId="43" xfId="3" applyFont="1" applyFill="1" applyBorder="1" applyAlignment="1"/>
    <xf numFmtId="0" fontId="7" fillId="0" borderId="48" xfId="3" applyFont="1" applyFill="1" applyBorder="1" applyAlignment="1">
      <alignment horizontal="center"/>
    </xf>
    <xf numFmtId="2" fontId="7" fillId="0" borderId="48" xfId="3" applyNumberFormat="1" applyFont="1" applyFill="1" applyBorder="1"/>
    <xf numFmtId="169" fontId="7" fillId="0" borderId="43" xfId="4" applyNumberFormat="1" applyFont="1" applyFill="1" applyBorder="1" applyAlignment="1">
      <alignment horizontal="center"/>
    </xf>
    <xf numFmtId="0" fontId="7" fillId="0" borderId="60" xfId="3" applyFont="1" applyFill="1" applyBorder="1" applyAlignment="1"/>
    <xf numFmtId="0" fontId="5" fillId="0" borderId="20" xfId="3" applyNumberFormat="1" applyFont="1" applyFill="1" applyBorder="1" applyAlignment="1">
      <alignment horizontal="center"/>
    </xf>
    <xf numFmtId="0" fontId="6" fillId="0" borderId="24" xfId="3" applyFont="1" applyFill="1" applyBorder="1" applyAlignment="1">
      <alignment horizontal="left"/>
    </xf>
    <xf numFmtId="0" fontId="6" fillId="0" borderId="24" xfId="3" applyFont="1" applyFill="1" applyBorder="1" applyAlignment="1">
      <alignment horizontal="left" wrapText="1"/>
    </xf>
    <xf numFmtId="0" fontId="7" fillId="0" borderId="24" xfId="3" applyFont="1" applyFill="1" applyBorder="1" applyAlignment="1">
      <alignment horizontal="left"/>
    </xf>
    <xf numFmtId="0" fontId="6" fillId="0" borderId="24" xfId="3" applyFont="1" applyFill="1" applyBorder="1" applyAlignment="1">
      <alignment horizontal="justify" vertical="center" wrapText="1"/>
    </xf>
    <xf numFmtId="0" fontId="6" fillId="0" borderId="30" xfId="3" applyFont="1" applyFill="1" applyBorder="1" applyAlignment="1">
      <alignment horizontal="justify" vertical="center" wrapText="1"/>
    </xf>
    <xf numFmtId="0" fontId="6" fillId="0" borderId="31" xfId="3" applyFont="1" applyFill="1" applyBorder="1" applyAlignment="1">
      <alignment horizontal="justify" vertical="center" wrapText="1"/>
    </xf>
    <xf numFmtId="0" fontId="7" fillId="0" borderId="48" xfId="3" applyFont="1" applyFill="1" applyBorder="1" applyAlignment="1">
      <alignment horizontal="left"/>
    </xf>
    <xf numFmtId="0" fontId="14" fillId="0" borderId="0" xfId="3" applyFont="1" applyFill="1" applyBorder="1"/>
    <xf numFmtId="2" fontId="14" fillId="0" borderId="0" xfId="3" applyNumberFormat="1" applyFont="1" applyFill="1" applyBorder="1"/>
    <xf numFmtId="169" fontId="14" fillId="0" borderId="0" xfId="4" applyNumberFormat="1" applyFont="1" applyFill="1" applyBorder="1"/>
    <xf numFmtId="2" fontId="14" fillId="0" borderId="15" xfId="3" applyNumberFormat="1" applyFont="1" applyFill="1" applyBorder="1" applyAlignment="1">
      <alignment horizontal="center"/>
    </xf>
    <xf numFmtId="169" fontId="14" fillId="0" borderId="16" xfId="4" applyNumberFormat="1" applyFont="1" applyFill="1" applyBorder="1" applyAlignment="1">
      <alignment horizontal="center"/>
    </xf>
    <xf numFmtId="169" fontId="14" fillId="0" borderId="19" xfId="4" applyNumberFormat="1" applyFont="1" applyFill="1" applyBorder="1" applyAlignment="1">
      <alignment horizontal="center"/>
    </xf>
    <xf numFmtId="0" fontId="14" fillId="0" borderId="20" xfId="3" applyFont="1" applyFill="1" applyBorder="1" applyAlignment="1">
      <alignment horizontal="center" vertical="center"/>
    </xf>
    <xf numFmtId="0" fontId="14" fillId="0" borderId="21" xfId="3" applyFont="1" applyFill="1" applyBorder="1" applyAlignment="1">
      <alignment horizontal="left"/>
    </xf>
    <xf numFmtId="2" fontId="14" fillId="0" borderId="21" xfId="3" applyNumberFormat="1" applyFont="1" applyFill="1" applyBorder="1" applyAlignment="1">
      <alignment horizontal="center"/>
    </xf>
    <xf numFmtId="169" fontId="14" fillId="0" borderId="41" xfId="4" applyNumberFormat="1" applyFont="1" applyFill="1" applyBorder="1" applyAlignment="1">
      <alignment horizontal="center"/>
    </xf>
    <xf numFmtId="169" fontId="13" fillId="0" borderId="22" xfId="4" applyNumberFormat="1" applyFont="1" applyFill="1" applyBorder="1" applyAlignment="1"/>
    <xf numFmtId="0" fontId="13" fillId="0" borderId="23" xfId="3" applyFont="1" applyFill="1" applyBorder="1" applyAlignment="1">
      <alignment horizontal="center" vertical="center"/>
    </xf>
    <xf numFmtId="0" fontId="13" fillId="0" borderId="28" xfId="3" applyFont="1" applyFill="1" applyBorder="1" applyAlignment="1">
      <alignment horizontal="left" wrapText="1"/>
    </xf>
    <xf numFmtId="0" fontId="13" fillId="0" borderId="23" xfId="3" applyFont="1" applyFill="1" applyBorder="1" applyAlignment="1">
      <alignment horizontal="center"/>
    </xf>
    <xf numFmtId="2" fontId="13" fillId="0" borderId="24" xfId="3" applyNumberFormat="1" applyFont="1" applyFill="1" applyBorder="1"/>
    <xf numFmtId="169" fontId="13" fillId="0" borderId="3" xfId="4" applyNumberFormat="1" applyFont="1" applyFill="1" applyBorder="1" applyAlignment="1">
      <alignment horizontal="right"/>
    </xf>
    <xf numFmtId="169" fontId="13" fillId="0" borderId="25" xfId="4" applyNumberFormat="1" applyFont="1" applyFill="1" applyBorder="1" applyAlignment="1"/>
    <xf numFmtId="0" fontId="13" fillId="0" borderId="28" xfId="3" applyFont="1" applyFill="1" applyBorder="1" applyAlignment="1">
      <alignment horizontal="left" vertical="center" wrapText="1"/>
    </xf>
    <xf numFmtId="169" fontId="13" fillId="0" borderId="3" xfId="4" applyNumberFormat="1" applyFont="1" applyFill="1" applyBorder="1" applyAlignment="1">
      <alignment horizontal="center"/>
    </xf>
    <xf numFmtId="0" fontId="14" fillId="0" borderId="23" xfId="3" applyFont="1" applyFill="1" applyBorder="1" applyAlignment="1">
      <alignment horizontal="center" vertical="center"/>
    </xf>
    <xf numFmtId="0" fontId="14" fillId="0" borderId="24" xfId="3" applyFont="1" applyFill="1" applyBorder="1" applyAlignment="1">
      <alignment horizontal="left"/>
    </xf>
    <xf numFmtId="0" fontId="14" fillId="0" borderId="23" xfId="3" applyFont="1" applyFill="1" applyBorder="1" applyAlignment="1">
      <alignment horizontal="center"/>
    </xf>
    <xf numFmtId="2" fontId="14" fillId="0" borderId="24" xfId="3" applyNumberFormat="1" applyFont="1" applyFill="1" applyBorder="1" applyAlignment="1">
      <alignment horizontal="center"/>
    </xf>
    <xf numFmtId="169" fontId="14" fillId="0" borderId="3" xfId="4" applyNumberFormat="1" applyFont="1" applyFill="1" applyBorder="1" applyAlignment="1">
      <alignment horizontal="right"/>
    </xf>
    <xf numFmtId="0" fontId="13" fillId="0" borderId="24" xfId="3" applyFont="1" applyFill="1" applyBorder="1" applyAlignment="1">
      <alignment horizontal="justify" vertical="center" wrapText="1"/>
    </xf>
    <xf numFmtId="0" fontId="13" fillId="0" borderId="23" xfId="3" applyFont="1" applyFill="1" applyBorder="1" applyAlignment="1">
      <alignment horizontal="center" vertical="center" wrapText="1"/>
    </xf>
    <xf numFmtId="0" fontId="13" fillId="0" borderId="23" xfId="3" applyFont="1" applyFill="1" applyBorder="1" applyAlignment="1">
      <alignment horizontal="center" wrapText="1"/>
    </xf>
    <xf numFmtId="2" fontId="13" fillId="0" borderId="24" xfId="3" applyNumberFormat="1" applyFont="1" applyFill="1" applyBorder="1" applyAlignment="1">
      <alignment wrapText="1"/>
    </xf>
    <xf numFmtId="169" fontId="3" fillId="0" borderId="3" xfId="4" applyNumberFormat="1" applyFont="1" applyFill="1" applyBorder="1" applyAlignment="1">
      <alignment horizontal="center" wrapText="1"/>
    </xf>
    <xf numFmtId="169" fontId="13" fillId="0" borderId="25" xfId="4" applyNumberFormat="1" applyFont="1" applyFill="1" applyBorder="1" applyAlignment="1">
      <alignment wrapText="1"/>
    </xf>
    <xf numFmtId="169" fontId="14" fillId="0" borderId="3" xfId="4" applyNumberFormat="1" applyFont="1" applyFill="1" applyBorder="1" applyAlignment="1">
      <alignment horizontal="center"/>
    </xf>
    <xf numFmtId="0" fontId="13" fillId="0" borderId="20" xfId="3" applyNumberFormat="1" applyFont="1" applyFill="1" applyBorder="1" applyAlignment="1">
      <alignment horizontal="center"/>
    </xf>
    <xf numFmtId="0" fontId="13" fillId="0" borderId="23" xfId="3" applyNumberFormat="1" applyFont="1" applyFill="1" applyBorder="1" applyAlignment="1">
      <alignment horizontal="center"/>
    </xf>
    <xf numFmtId="2" fontId="13" fillId="0" borderId="21" xfId="3" applyNumberFormat="1" applyFont="1" applyFill="1" applyBorder="1" applyAlignment="1"/>
    <xf numFmtId="0" fontId="13" fillId="0" borderId="24" xfId="3" applyFont="1" applyFill="1" applyBorder="1" applyAlignment="1">
      <alignment horizontal="left"/>
    </xf>
    <xf numFmtId="0" fontId="14" fillId="0" borderId="28" xfId="3" applyFont="1" applyFill="1" applyBorder="1" applyAlignment="1">
      <alignment horizontal="left" wrapText="1"/>
    </xf>
    <xf numFmtId="0" fontId="13" fillId="0" borderId="29" xfId="3" applyFont="1" applyFill="1" applyBorder="1" applyAlignment="1">
      <alignment horizontal="center" vertical="center"/>
    </xf>
    <xf numFmtId="0" fontId="13" fillId="0" borderId="30" xfId="3" applyFont="1" applyFill="1" applyBorder="1" applyAlignment="1">
      <alignment horizontal="justify" vertical="center" wrapText="1"/>
    </xf>
    <xf numFmtId="0" fontId="13" fillId="0" borderId="29" xfId="3" applyFont="1" applyFill="1" applyBorder="1" applyAlignment="1">
      <alignment horizontal="center"/>
    </xf>
    <xf numFmtId="2" fontId="13" fillId="0" borderId="30" xfId="3" applyNumberFormat="1" applyFont="1" applyFill="1" applyBorder="1"/>
    <xf numFmtId="169" fontId="13" fillId="0" borderId="42" xfId="4" applyNumberFormat="1" applyFont="1" applyFill="1" applyBorder="1" applyAlignment="1">
      <alignment horizontal="right"/>
    </xf>
    <xf numFmtId="169" fontId="13" fillId="0" borderId="32" xfId="4" applyNumberFormat="1" applyFont="1" applyFill="1" applyBorder="1" applyAlignment="1"/>
    <xf numFmtId="0" fontId="14" fillId="0" borderId="24" xfId="3" applyFont="1" applyFill="1" applyBorder="1" applyAlignment="1">
      <alignment horizontal="center" vertical="center"/>
    </xf>
    <xf numFmtId="43" fontId="14" fillId="0" borderId="5" xfId="6" applyFont="1" applyFill="1" applyBorder="1" applyAlignment="1">
      <alignment horizontal="center"/>
    </xf>
    <xf numFmtId="169" fontId="14" fillId="0" borderId="41" xfId="4" applyNumberFormat="1" applyFont="1" applyFill="1" applyBorder="1" applyAlignment="1">
      <alignment horizontal="right"/>
    </xf>
    <xf numFmtId="0" fontId="14" fillId="0" borderId="30" xfId="3" applyFont="1" applyFill="1" applyBorder="1" applyAlignment="1">
      <alignment horizontal="center" vertical="center"/>
    </xf>
    <xf numFmtId="0" fontId="13" fillId="0" borderId="31" xfId="3" applyFont="1" applyFill="1" applyBorder="1" applyAlignment="1">
      <alignment horizontal="justify" vertical="center" wrapText="1"/>
    </xf>
    <xf numFmtId="0" fontId="14" fillId="0" borderId="29" xfId="3" applyFont="1" applyFill="1" applyBorder="1" applyAlignment="1">
      <alignment horizontal="center"/>
    </xf>
    <xf numFmtId="43" fontId="13" fillId="0" borderId="44" xfId="6" applyFont="1" applyFill="1" applyBorder="1"/>
    <xf numFmtId="0" fontId="14" fillId="0" borderId="48" xfId="3" applyFont="1" applyFill="1" applyBorder="1" applyAlignment="1">
      <alignment horizontal="center" vertical="center"/>
    </xf>
    <xf numFmtId="0" fontId="14" fillId="0" borderId="48" xfId="3" applyFont="1" applyFill="1" applyBorder="1" applyAlignment="1">
      <alignment horizontal="left"/>
    </xf>
    <xf numFmtId="0" fontId="14" fillId="0" borderId="48" xfId="3" applyFont="1" applyFill="1" applyBorder="1" applyAlignment="1">
      <alignment horizontal="center"/>
    </xf>
    <xf numFmtId="2" fontId="14" fillId="0" borderId="48" xfId="3" applyNumberFormat="1" applyFont="1" applyFill="1" applyBorder="1"/>
    <xf numFmtId="169" fontId="14" fillId="0" borderId="43" xfId="4" applyNumberFormat="1" applyFont="1" applyFill="1" applyBorder="1" applyAlignment="1">
      <alignment horizontal="center"/>
    </xf>
    <xf numFmtId="0" fontId="7" fillId="0" borderId="41" xfId="3" applyFont="1" applyFill="1" applyBorder="1" applyAlignment="1">
      <alignment horizontal="left" wrapText="1"/>
    </xf>
    <xf numFmtId="0" fontId="7" fillId="0" borderId="36" xfId="3" applyFont="1" applyFill="1" applyBorder="1" applyAlignment="1">
      <alignment vertical="center" wrapText="1"/>
    </xf>
    <xf numFmtId="166" fontId="6" fillId="0" borderId="6" xfId="1" applyNumberFormat="1" applyFont="1" applyFill="1" applyBorder="1" applyAlignment="1"/>
    <xf numFmtId="166" fontId="6" fillId="0" borderId="1" xfId="1" applyNumberFormat="1" applyFont="1" applyFill="1" applyBorder="1" applyAlignment="1"/>
    <xf numFmtId="166" fontId="6" fillId="0" borderId="19" xfId="1" applyNumberFormat="1" applyFont="1" applyFill="1" applyBorder="1" applyAlignment="1"/>
    <xf numFmtId="166" fontId="5" fillId="0" borderId="1" xfId="1" applyNumberFormat="1" applyFont="1" applyFill="1" applyBorder="1" applyAlignment="1"/>
    <xf numFmtId="166" fontId="5" fillId="0" borderId="22" xfId="1" applyNumberFormat="1" applyFont="1" applyFill="1" applyBorder="1" applyAlignment="1"/>
    <xf numFmtId="166" fontId="7" fillId="0" borderId="23" xfId="1" applyNumberFormat="1" applyFont="1" applyFill="1" applyBorder="1" applyAlignment="1">
      <alignment horizontal="center"/>
    </xf>
    <xf numFmtId="166" fontId="6" fillId="0" borderId="0" xfId="1" applyNumberFormat="1" applyFont="1" applyFill="1"/>
    <xf numFmtId="0" fontId="7" fillId="0" borderId="24" xfId="3" applyFont="1" applyFill="1" applyBorder="1" applyAlignment="1">
      <alignment horizontal="left" wrapText="1"/>
    </xf>
    <xf numFmtId="0" fontId="6" fillId="0" borderId="26" xfId="3" applyFont="1" applyFill="1" applyBorder="1" applyAlignment="1">
      <alignment horizontal="left" wrapText="1"/>
    </xf>
    <xf numFmtId="166" fontId="7" fillId="0" borderId="2" xfId="1" applyNumberFormat="1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justify" vertical="center" wrapText="1"/>
    </xf>
    <xf numFmtId="43" fontId="6" fillId="0" borderId="56" xfId="6" applyFont="1" applyFill="1" applyBorder="1"/>
    <xf numFmtId="169" fontId="6" fillId="0" borderId="55" xfId="4" applyNumberFormat="1" applyFont="1" applyFill="1" applyBorder="1" applyAlignment="1">
      <alignment horizontal="right"/>
    </xf>
    <xf numFmtId="0" fontId="14" fillId="0" borderId="24" xfId="3" applyFont="1" applyFill="1" applyBorder="1" applyAlignment="1">
      <alignment horizontal="left" wrapText="1"/>
    </xf>
    <xf numFmtId="0" fontId="13" fillId="0" borderId="24" xfId="3" applyFont="1" applyFill="1" applyBorder="1" applyAlignment="1">
      <alignment horizontal="left" wrapText="1"/>
    </xf>
    <xf numFmtId="174" fontId="13" fillId="0" borderId="24" xfId="3" applyNumberFormat="1" applyFont="1" applyFill="1" applyBorder="1"/>
    <xf numFmtId="166" fontId="7" fillId="0" borderId="0" xfId="0" applyNumberFormat="1" applyFont="1" applyFill="1" applyAlignment="1">
      <alignment horizontal="center"/>
    </xf>
    <xf numFmtId="2" fontId="6" fillId="0" borderId="1" xfId="0" applyNumberFormat="1" applyFont="1" applyBorder="1"/>
    <xf numFmtId="0" fontId="7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justify" vertical="center"/>
    </xf>
    <xf numFmtId="2" fontId="7" fillId="0" borderId="1" xfId="0" applyNumberFormat="1" applyFont="1" applyBorder="1" applyAlignment="1">
      <alignment horizontal="right"/>
    </xf>
    <xf numFmtId="2" fontId="7" fillId="2" borderId="1" xfId="0" applyNumberFormat="1" applyFont="1" applyFill="1" applyBorder="1"/>
    <xf numFmtId="0" fontId="6" fillId="2" borderId="1" xfId="0" applyFont="1" applyFill="1" applyBorder="1"/>
    <xf numFmtId="166" fontId="7" fillId="0" borderId="1" xfId="1" applyNumberFormat="1" applyFont="1" applyBorder="1" applyAlignment="1">
      <alignment vertical="center"/>
    </xf>
    <xf numFmtId="9" fontId="6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166" fontId="6" fillId="0" borderId="5" xfId="1" applyNumberFormat="1" applyFont="1" applyBorder="1" applyAlignment="1"/>
    <xf numFmtId="166" fontId="6" fillId="0" borderId="1" xfId="1" applyNumberFormat="1" applyFont="1" applyBorder="1" applyAlignment="1"/>
    <xf numFmtId="166" fontId="6" fillId="0" borderId="1" xfId="1" applyNumberFormat="1" applyFont="1" applyBorder="1" applyAlignment="1">
      <alignment vertical="center" wrapText="1"/>
    </xf>
    <xf numFmtId="165" fontId="6" fillId="0" borderId="1" xfId="1" applyFont="1" applyBorder="1" applyAlignment="1">
      <alignment horizontal="center" vertical="center" wrapText="1"/>
    </xf>
    <xf numFmtId="171" fontId="6" fillId="0" borderId="1" xfId="1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165" fontId="6" fillId="0" borderId="0" xfId="1" applyFont="1" applyBorder="1"/>
    <xf numFmtId="166" fontId="6" fillId="0" borderId="0" xfId="1" applyNumberFormat="1" applyFont="1"/>
    <xf numFmtId="174" fontId="6" fillId="2" borderId="1" xfId="0" applyNumberFormat="1" applyFont="1" applyFill="1" applyBorder="1"/>
    <xf numFmtId="16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14" fillId="0" borderId="1" xfId="3" applyNumberFormat="1" applyFont="1" applyFill="1" applyBorder="1"/>
    <xf numFmtId="169" fontId="13" fillId="0" borderId="1" xfId="4" applyNumberFormat="1" applyFont="1" applyFill="1" applyBorder="1"/>
    <xf numFmtId="2" fontId="13" fillId="0" borderId="1" xfId="3" applyNumberFormat="1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9" fontId="10" fillId="0" borderId="1" xfId="0" applyNumberFormat="1" applyFont="1" applyFill="1" applyBorder="1" applyAlignment="1">
      <alignment horizontal="right" vertical="center"/>
    </xf>
    <xf numFmtId="2" fontId="11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/>
    <xf numFmtId="2" fontId="3" fillId="0" borderId="1" xfId="0" applyNumberFormat="1" applyFont="1" applyFill="1" applyBorder="1" applyAlignment="1">
      <alignment horizontal="right"/>
    </xf>
    <xf numFmtId="164" fontId="3" fillId="0" borderId="1" xfId="1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171" fontId="2" fillId="0" borderId="1" xfId="8" applyNumberFormat="1" applyFont="1" applyFill="1" applyBorder="1" applyAlignment="1">
      <alignment horizontal="center"/>
    </xf>
    <xf numFmtId="0" fontId="2" fillId="0" borderId="1" xfId="0" applyFont="1" applyFill="1" applyBorder="1"/>
    <xf numFmtId="164" fontId="12" fillId="0" borderId="1" xfId="0" applyNumberFormat="1" applyFont="1" applyFill="1" applyBorder="1"/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wrapText="1"/>
    </xf>
    <xf numFmtId="166" fontId="6" fillId="0" borderId="0" xfId="0" applyNumberFormat="1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14" fillId="0" borderId="1" xfId="3" applyFont="1" applyFill="1" applyBorder="1" applyAlignment="1">
      <alignment horizontal="left" vertical="center" wrapText="1"/>
    </xf>
    <xf numFmtId="0" fontId="14" fillId="0" borderId="1" xfId="3" applyFont="1" applyFill="1" applyBorder="1" applyAlignment="1">
      <alignment horizontal="center" wrapText="1"/>
    </xf>
    <xf numFmtId="0" fontId="13" fillId="0" borderId="1" xfId="3" applyFont="1" applyFill="1" applyBorder="1" applyAlignment="1">
      <alignment wrapText="1"/>
    </xf>
    <xf numFmtId="0" fontId="14" fillId="0" borderId="1" xfId="3" applyFont="1" applyFill="1" applyBorder="1" applyAlignment="1">
      <alignment wrapText="1"/>
    </xf>
    <xf numFmtId="0" fontId="7" fillId="0" borderId="1" xfId="3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center" wrapText="1"/>
    </xf>
    <xf numFmtId="166" fontId="14" fillId="0" borderId="1" xfId="1" applyNumberFormat="1" applyFont="1" applyFill="1" applyBorder="1" applyAlignment="1">
      <alignment horizontal="center" wrapText="1"/>
    </xf>
    <xf numFmtId="9" fontId="6" fillId="0" borderId="1" xfId="2" applyFont="1" applyFill="1" applyBorder="1" applyAlignment="1">
      <alignment horizontal="center" wrapText="1"/>
    </xf>
    <xf numFmtId="166" fontId="7" fillId="0" borderId="1" xfId="1" applyNumberFormat="1" applyFont="1" applyFill="1" applyBorder="1" applyAlignment="1">
      <alignment horizontal="left" wrapText="1"/>
    </xf>
    <xf numFmtId="166" fontId="7" fillId="0" borderId="1" xfId="3" applyNumberFormat="1" applyFont="1" applyFill="1" applyBorder="1" applyAlignment="1">
      <alignment horizontal="left" wrapText="1"/>
    </xf>
    <xf numFmtId="0" fontId="7" fillId="0" borderId="1" xfId="3" applyFont="1" applyFill="1" applyBorder="1" applyAlignment="1">
      <alignment vertical="center"/>
    </xf>
    <xf numFmtId="0" fontId="7" fillId="0" borderId="1" xfId="3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center" vertical="center"/>
    </xf>
    <xf numFmtId="0" fontId="7" fillId="0" borderId="18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/>
    </xf>
    <xf numFmtId="0" fontId="7" fillId="0" borderId="15" xfId="3" applyFont="1" applyFill="1" applyBorder="1" applyAlignment="1">
      <alignment horizontal="center" vertical="center"/>
    </xf>
    <xf numFmtId="0" fontId="7" fillId="0" borderId="16" xfId="3" applyFont="1" applyFill="1" applyBorder="1" applyAlignment="1">
      <alignment horizontal="center" vertical="center"/>
    </xf>
    <xf numFmtId="0" fontId="7" fillId="0" borderId="17" xfId="3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 wrapText="1"/>
    </xf>
    <xf numFmtId="0" fontId="7" fillId="0" borderId="12" xfId="3" applyFont="1" applyFill="1" applyBorder="1" applyAlignment="1">
      <alignment horizontal="center" vertical="center" wrapText="1"/>
    </xf>
    <xf numFmtId="0" fontId="7" fillId="0" borderId="13" xfId="3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left" wrapText="1"/>
    </xf>
    <xf numFmtId="0" fontId="7" fillId="0" borderId="5" xfId="3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14" fillId="0" borderId="15" xfId="3" applyFont="1" applyFill="1" applyBorder="1" applyAlignment="1">
      <alignment horizontal="center" vertical="center" wrapText="1"/>
    </xf>
    <xf numFmtId="0" fontId="14" fillId="0" borderId="16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4" fillId="0" borderId="7" xfId="3" applyFont="1" applyFill="1" applyBorder="1" applyAlignment="1">
      <alignment horizontal="center" vertical="center"/>
    </xf>
    <xf numFmtId="0" fontId="14" fillId="0" borderId="11" xfId="3" applyFont="1" applyFill="1" applyBorder="1" applyAlignment="1">
      <alignment horizontal="center" vertical="center"/>
    </xf>
    <xf numFmtId="0" fontId="14" fillId="0" borderId="14" xfId="3" applyFont="1" applyFill="1" applyBorder="1" applyAlignment="1">
      <alignment horizontal="center" vertical="center"/>
    </xf>
    <xf numFmtId="0" fontId="14" fillId="0" borderId="18" xfId="3" applyFont="1" applyFill="1" applyBorder="1" applyAlignment="1">
      <alignment horizontal="center" vertical="center"/>
    </xf>
    <xf numFmtId="0" fontId="14" fillId="0" borderId="15" xfId="3" applyFont="1" applyFill="1" applyBorder="1" applyAlignment="1">
      <alignment horizontal="center" vertical="center"/>
    </xf>
    <xf numFmtId="0" fontId="14" fillId="0" borderId="16" xfId="3" applyFont="1" applyFill="1" applyBorder="1" applyAlignment="1">
      <alignment horizontal="center" vertical="center"/>
    </xf>
    <xf numFmtId="0" fontId="14" fillId="0" borderId="17" xfId="3" applyFont="1" applyFill="1" applyBorder="1" applyAlignment="1">
      <alignment horizontal="center" vertical="center"/>
    </xf>
    <xf numFmtId="0" fontId="7" fillId="0" borderId="15" xfId="3" applyFont="1" applyFill="1" applyBorder="1" applyAlignment="1">
      <alignment horizontal="center" vertical="center" wrapText="1"/>
    </xf>
    <xf numFmtId="0" fontId="7" fillId="0" borderId="16" xfId="3" applyFont="1" applyFill="1" applyBorder="1" applyAlignment="1">
      <alignment horizontal="center" vertical="center" wrapText="1"/>
    </xf>
    <xf numFmtId="0" fontId="7" fillId="0" borderId="17" xfId="3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49" xfId="3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</cellXfs>
  <cellStyles count="11">
    <cellStyle name="Millares" xfId="1" builtinId="3"/>
    <cellStyle name="Millares 13" xfId="6"/>
    <cellStyle name="Millares 2 2" xfId="10"/>
    <cellStyle name="Millares_PRESUPUESTO COLECTORES BELALCAZAR" xfId="8"/>
    <cellStyle name="Moneda 2" xfId="4"/>
    <cellStyle name="Normal" xfId="0" builtinId="0"/>
    <cellStyle name="Normal 10" xfId="9"/>
    <cellStyle name="Normal 75" xfId="3"/>
    <cellStyle name="Normal_Hoja1" xfId="7"/>
    <cellStyle name="Porcentaje" xfId="2" builtinId="5"/>
    <cellStyle name="Porcentaj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721"/>
  <sheetViews>
    <sheetView zoomScale="115" zoomScaleNormal="115" workbookViewId="0">
      <pane xSplit="4" ySplit="1" topLeftCell="E715" activePane="bottomRight" state="frozen"/>
      <selection pane="topRight" activeCell="E1" sqref="E1"/>
      <selection pane="bottomLeft" activeCell="A4" sqref="A4"/>
      <selection pane="bottomRight" activeCell="H715" sqref="H715"/>
    </sheetView>
  </sheetViews>
  <sheetFormatPr baseColWidth="10" defaultRowHeight="12.75" x14ac:dyDescent="0.2"/>
  <cols>
    <col min="1" max="1" width="11.42578125" style="136"/>
    <col min="2" max="2" width="33.42578125" style="136" customWidth="1"/>
    <col min="3" max="4" width="11.42578125" style="136"/>
    <col min="5" max="5" width="15.42578125" style="136" customWidth="1"/>
    <col min="6" max="6" width="16.28515625" style="136" customWidth="1"/>
    <col min="7" max="16384" width="11.42578125" style="136"/>
  </cols>
  <sheetData>
    <row r="3" spans="1:6" ht="15.75" x14ac:dyDescent="0.2">
      <c r="B3" s="621" t="s">
        <v>754</v>
      </c>
      <c r="C3" s="622"/>
      <c r="D3" s="622"/>
      <c r="E3" s="622"/>
      <c r="F3" s="623"/>
    </row>
    <row r="5" spans="1:6" ht="31.5" customHeight="1" x14ac:dyDescent="0.2">
      <c r="A5" s="137" t="s">
        <v>0</v>
      </c>
      <c r="B5" s="629" t="s">
        <v>789</v>
      </c>
      <c r="C5" s="630"/>
      <c r="D5" s="630"/>
      <c r="E5" s="630"/>
      <c r="F5" s="631"/>
    </row>
    <row r="6" spans="1:6" x14ac:dyDescent="0.2">
      <c r="A6" s="138"/>
      <c r="B6" s="138"/>
      <c r="C6" s="138"/>
      <c r="D6" s="138"/>
      <c r="E6" s="138"/>
      <c r="F6" s="139"/>
    </row>
    <row r="7" spans="1:6" x14ac:dyDescent="0.2">
      <c r="A7" s="140" t="s">
        <v>158</v>
      </c>
      <c r="B7" s="140" t="s">
        <v>159</v>
      </c>
      <c r="C7" s="140" t="s">
        <v>160</v>
      </c>
      <c r="D7" s="140" t="s">
        <v>35</v>
      </c>
      <c r="E7" s="140" t="s">
        <v>161</v>
      </c>
      <c r="F7" s="141" t="s">
        <v>162</v>
      </c>
    </row>
    <row r="8" spans="1:6" x14ac:dyDescent="0.2">
      <c r="A8" s="142">
        <v>1</v>
      </c>
      <c r="B8" s="143" t="s">
        <v>163</v>
      </c>
      <c r="C8" s="140" t="s">
        <v>22</v>
      </c>
      <c r="D8" s="144">
        <v>888</v>
      </c>
      <c r="E8" s="119">
        <v>4181</v>
      </c>
      <c r="F8" s="145">
        <f t="shared" ref="F8:F24" si="0">ROUND(D8*E8,0)</f>
        <v>3712728</v>
      </c>
    </row>
    <row r="9" spans="1:6" x14ac:dyDescent="0.2">
      <c r="A9" s="146">
        <v>2</v>
      </c>
      <c r="B9" s="147" t="s">
        <v>111</v>
      </c>
      <c r="C9" s="117" t="s">
        <v>22</v>
      </c>
      <c r="D9" s="118">
        <v>20</v>
      </c>
      <c r="E9" s="119">
        <v>6729</v>
      </c>
      <c r="F9" s="145">
        <f t="shared" si="0"/>
        <v>134580</v>
      </c>
    </row>
    <row r="10" spans="1:6" x14ac:dyDescent="0.2">
      <c r="A10" s="142">
        <v>3</v>
      </c>
      <c r="B10" s="148" t="s">
        <v>164</v>
      </c>
      <c r="C10" s="140" t="s">
        <v>12</v>
      </c>
      <c r="D10" s="144">
        <v>362</v>
      </c>
      <c r="E10" s="119">
        <v>24368</v>
      </c>
      <c r="F10" s="145">
        <f t="shared" si="0"/>
        <v>8821216</v>
      </c>
    </row>
    <row r="11" spans="1:6" ht="25.5" x14ac:dyDescent="0.2">
      <c r="A11" s="142">
        <v>4</v>
      </c>
      <c r="B11" s="148" t="s">
        <v>165</v>
      </c>
      <c r="C11" s="140" t="s">
        <v>12</v>
      </c>
      <c r="D11" s="144">
        <v>20</v>
      </c>
      <c r="E11" s="119">
        <v>32000</v>
      </c>
      <c r="F11" s="145">
        <f t="shared" si="0"/>
        <v>640000</v>
      </c>
    </row>
    <row r="12" spans="1:6" ht="25.5" x14ac:dyDescent="0.2">
      <c r="A12" s="146">
        <v>5</v>
      </c>
      <c r="B12" s="148" t="s">
        <v>166</v>
      </c>
      <c r="C12" s="140" t="s">
        <v>12</v>
      </c>
      <c r="D12" s="144">
        <v>20</v>
      </c>
      <c r="E12" s="119">
        <v>39200</v>
      </c>
      <c r="F12" s="145">
        <f t="shared" si="0"/>
        <v>784000</v>
      </c>
    </row>
    <row r="13" spans="1:6" ht="38.25" x14ac:dyDescent="0.2">
      <c r="A13" s="142">
        <v>6</v>
      </c>
      <c r="B13" s="148" t="s">
        <v>633</v>
      </c>
      <c r="C13" s="140" t="s">
        <v>22</v>
      </c>
      <c r="D13" s="144">
        <v>888</v>
      </c>
      <c r="E13" s="149">
        <v>22000</v>
      </c>
      <c r="F13" s="145">
        <f t="shared" si="0"/>
        <v>19536000</v>
      </c>
    </row>
    <row r="14" spans="1:6" ht="38.25" x14ac:dyDescent="0.2">
      <c r="A14" s="142">
        <v>7</v>
      </c>
      <c r="B14" s="148" t="s">
        <v>634</v>
      </c>
      <c r="C14" s="140" t="s">
        <v>14</v>
      </c>
      <c r="D14" s="144">
        <v>2</v>
      </c>
      <c r="E14" s="119">
        <v>333760</v>
      </c>
      <c r="F14" s="145">
        <f t="shared" si="0"/>
        <v>667520</v>
      </c>
    </row>
    <row r="15" spans="1:6" ht="38.25" x14ac:dyDescent="0.2">
      <c r="A15" s="146">
        <v>8</v>
      </c>
      <c r="B15" s="148" t="s">
        <v>635</v>
      </c>
      <c r="C15" s="140" t="s">
        <v>116</v>
      </c>
      <c r="D15" s="144">
        <v>2</v>
      </c>
      <c r="E15" s="119">
        <v>145000</v>
      </c>
      <c r="F15" s="145">
        <f t="shared" si="0"/>
        <v>290000</v>
      </c>
    </row>
    <row r="16" spans="1:6" ht="38.25" x14ac:dyDescent="0.2">
      <c r="A16" s="146">
        <v>9</v>
      </c>
      <c r="B16" s="148" t="s">
        <v>167</v>
      </c>
      <c r="C16" s="150" t="s">
        <v>14</v>
      </c>
      <c r="D16" s="144">
        <v>2</v>
      </c>
      <c r="E16" s="119">
        <v>1713600</v>
      </c>
      <c r="F16" s="145">
        <f t="shared" si="0"/>
        <v>3427200</v>
      </c>
    </row>
    <row r="17" spans="1:6" ht="38.25" x14ac:dyDescent="0.2">
      <c r="A17" s="146">
        <v>10</v>
      </c>
      <c r="B17" s="148" t="s">
        <v>785</v>
      </c>
      <c r="C17" s="150" t="s">
        <v>14</v>
      </c>
      <c r="D17" s="144">
        <v>2</v>
      </c>
      <c r="E17" s="119">
        <v>1850000</v>
      </c>
      <c r="F17" s="145">
        <f t="shared" si="0"/>
        <v>3700000</v>
      </c>
    </row>
    <row r="18" spans="1:6" x14ac:dyDescent="0.2">
      <c r="A18" s="142">
        <v>11</v>
      </c>
      <c r="B18" s="148" t="s">
        <v>653</v>
      </c>
      <c r="C18" s="150" t="s">
        <v>14</v>
      </c>
      <c r="D18" s="144">
        <v>8</v>
      </c>
      <c r="E18" s="119">
        <v>360503</v>
      </c>
      <c r="F18" s="145">
        <f t="shared" si="0"/>
        <v>2884024</v>
      </c>
    </row>
    <row r="19" spans="1:6" ht="51" x14ac:dyDescent="0.2">
      <c r="A19" s="146">
        <v>12</v>
      </c>
      <c r="B19" s="148" t="s">
        <v>654</v>
      </c>
      <c r="C19" s="150" t="s">
        <v>14</v>
      </c>
      <c r="D19" s="144">
        <v>8</v>
      </c>
      <c r="E19" s="119">
        <v>336000</v>
      </c>
      <c r="F19" s="145">
        <f t="shared" si="0"/>
        <v>2688000</v>
      </c>
    </row>
    <row r="20" spans="1:6" ht="25.5" x14ac:dyDescent="0.2">
      <c r="A20" s="142">
        <v>13</v>
      </c>
      <c r="B20" s="148" t="s">
        <v>168</v>
      </c>
      <c r="C20" s="140" t="s">
        <v>12</v>
      </c>
      <c r="D20" s="144">
        <v>400</v>
      </c>
      <c r="E20" s="119">
        <v>17861</v>
      </c>
      <c r="F20" s="145">
        <f t="shared" si="0"/>
        <v>7144400</v>
      </c>
    </row>
    <row r="21" spans="1:6" ht="57" customHeight="1" x14ac:dyDescent="0.2">
      <c r="A21" s="142">
        <v>14</v>
      </c>
      <c r="B21" s="148" t="s">
        <v>636</v>
      </c>
      <c r="C21" s="140" t="s">
        <v>12</v>
      </c>
      <c r="D21" s="144">
        <v>1</v>
      </c>
      <c r="E21" s="151">
        <v>1200238</v>
      </c>
      <c r="F21" s="145">
        <f t="shared" si="0"/>
        <v>1200238</v>
      </c>
    </row>
    <row r="22" spans="1:6" ht="25.5" x14ac:dyDescent="0.2">
      <c r="A22" s="142">
        <v>15</v>
      </c>
      <c r="B22" s="148" t="s">
        <v>169</v>
      </c>
      <c r="C22" s="140" t="s">
        <v>12</v>
      </c>
      <c r="D22" s="144">
        <v>30</v>
      </c>
      <c r="E22" s="119">
        <v>28000</v>
      </c>
      <c r="F22" s="145">
        <f t="shared" si="0"/>
        <v>840000</v>
      </c>
    </row>
    <row r="23" spans="1:6" x14ac:dyDescent="0.2">
      <c r="A23" s="142">
        <v>16</v>
      </c>
      <c r="B23" s="143" t="s">
        <v>170</v>
      </c>
      <c r="C23" s="140" t="s">
        <v>190</v>
      </c>
      <c r="D23" s="144">
        <v>20</v>
      </c>
      <c r="E23" s="119">
        <v>17500</v>
      </c>
      <c r="F23" s="145">
        <f t="shared" si="0"/>
        <v>350000</v>
      </c>
    </row>
    <row r="24" spans="1:6" x14ac:dyDescent="0.2">
      <c r="A24" s="142">
        <v>17</v>
      </c>
      <c r="B24" s="123" t="s">
        <v>155</v>
      </c>
      <c r="C24" s="117" t="s">
        <v>136</v>
      </c>
      <c r="D24" s="118">
        <v>120</v>
      </c>
      <c r="E24" s="119">
        <v>5223</v>
      </c>
      <c r="F24" s="145">
        <f t="shared" si="0"/>
        <v>626760</v>
      </c>
    </row>
    <row r="25" spans="1:6" x14ac:dyDescent="0.2">
      <c r="A25" s="138"/>
      <c r="B25" s="114" t="s">
        <v>30</v>
      </c>
      <c r="C25" s="113"/>
      <c r="D25" s="124"/>
      <c r="E25" s="152"/>
      <c r="F25" s="135">
        <f>ROUND(F8+F9+F10+F11+F12+F13+F14+F15+F16+F17+F18+F19+F20+F21+F22+F23+F24,0)</f>
        <v>57446666</v>
      </c>
    </row>
    <row r="26" spans="1:6" x14ac:dyDescent="0.2">
      <c r="A26" s="126"/>
      <c r="B26" s="114" t="s">
        <v>637</v>
      </c>
      <c r="C26" s="113"/>
      <c r="D26" s="124"/>
      <c r="E26" s="152"/>
      <c r="F26" s="135">
        <f>ROUND(F25/1.3495,0)</f>
        <v>42568852</v>
      </c>
    </row>
    <row r="27" spans="1:6" x14ac:dyDescent="0.2">
      <c r="A27" s="126"/>
      <c r="B27" s="114" t="s">
        <v>638</v>
      </c>
      <c r="C27" s="153">
        <v>0.24</v>
      </c>
      <c r="D27" s="124"/>
      <c r="E27" s="152"/>
      <c r="F27" s="135">
        <f>ROUND(F26*C27,0)</f>
        <v>10216524</v>
      </c>
    </row>
    <row r="28" spans="1:6" x14ac:dyDescent="0.2">
      <c r="A28" s="126"/>
      <c r="B28" s="114" t="s">
        <v>639</v>
      </c>
      <c r="C28" s="153">
        <v>0.05</v>
      </c>
      <c r="D28" s="124"/>
      <c r="E28" s="152"/>
      <c r="F28" s="135">
        <f>ROUND(F26*C28,0)</f>
        <v>2128443</v>
      </c>
    </row>
    <row r="29" spans="1:6" x14ac:dyDescent="0.2">
      <c r="A29" s="126"/>
      <c r="B29" s="114" t="s">
        <v>640</v>
      </c>
      <c r="C29" s="153">
        <v>0.05</v>
      </c>
      <c r="D29" s="124"/>
      <c r="E29" s="152"/>
      <c r="F29" s="135">
        <f>ROUND(F26*C29,0)</f>
        <v>2128443</v>
      </c>
    </row>
    <row r="30" spans="1:6" x14ac:dyDescent="0.2">
      <c r="A30" s="126"/>
      <c r="B30" s="114" t="s">
        <v>641</v>
      </c>
      <c r="C30" s="153">
        <v>0.19</v>
      </c>
      <c r="D30" s="124" t="s">
        <v>0</v>
      </c>
      <c r="E30" s="152"/>
      <c r="F30" s="135">
        <f>ROUND(F29*C30,0)</f>
        <v>404404</v>
      </c>
    </row>
    <row r="31" spans="1:6" x14ac:dyDescent="0.2">
      <c r="A31" s="126"/>
      <c r="B31" s="114" t="s">
        <v>1</v>
      </c>
      <c r="C31" s="113"/>
      <c r="D31" s="124"/>
      <c r="E31" s="152"/>
      <c r="F31" s="135">
        <f>ROUND(F26+F27+F28+F29+F30,0)</f>
        <v>57446666</v>
      </c>
    </row>
    <row r="33" spans="1:6" x14ac:dyDescent="0.2">
      <c r="A33" s="632" t="s">
        <v>573</v>
      </c>
      <c r="B33" s="632"/>
      <c r="C33" s="632"/>
      <c r="D33" s="632"/>
      <c r="E33" s="632"/>
      <c r="F33" s="632"/>
    </row>
    <row r="34" spans="1:6" x14ac:dyDescent="0.2">
      <c r="A34" s="627" t="s">
        <v>15</v>
      </c>
      <c r="B34" s="627" t="s">
        <v>16</v>
      </c>
      <c r="C34" s="627" t="s">
        <v>33</v>
      </c>
      <c r="D34" s="627" t="s">
        <v>34</v>
      </c>
      <c r="E34" s="627"/>
      <c r="F34" s="627"/>
    </row>
    <row r="35" spans="1:6" x14ac:dyDescent="0.2">
      <c r="A35" s="627"/>
      <c r="B35" s="627"/>
      <c r="C35" s="627"/>
      <c r="D35" s="113" t="s">
        <v>35</v>
      </c>
      <c r="E35" s="113" t="s">
        <v>36</v>
      </c>
      <c r="F35" s="113" t="s">
        <v>37</v>
      </c>
    </row>
    <row r="36" spans="1:6" x14ac:dyDescent="0.2">
      <c r="A36" s="128">
        <v>1</v>
      </c>
      <c r="B36" s="114" t="s">
        <v>38</v>
      </c>
      <c r="C36" s="627"/>
      <c r="D36" s="627"/>
      <c r="E36" s="627"/>
      <c r="F36" s="115"/>
    </row>
    <row r="37" spans="1:6" ht="25.5" x14ac:dyDescent="0.2">
      <c r="A37" s="116">
        <v>2</v>
      </c>
      <c r="B37" s="127" t="s">
        <v>146</v>
      </c>
      <c r="C37" s="117" t="s">
        <v>22</v>
      </c>
      <c r="D37" s="118">
        <v>30</v>
      </c>
      <c r="E37" s="119">
        <v>4828</v>
      </c>
      <c r="F37" s="145">
        <f t="shared" ref="F37:F71" si="1">ROUND(D37*E37,0)</f>
        <v>144840</v>
      </c>
    </row>
    <row r="38" spans="1:6" ht="25.5" x14ac:dyDescent="0.2">
      <c r="A38" s="128">
        <v>3</v>
      </c>
      <c r="B38" s="127" t="s">
        <v>191</v>
      </c>
      <c r="C38" s="117" t="s">
        <v>27</v>
      </c>
      <c r="D38" s="118">
        <v>180</v>
      </c>
      <c r="E38" s="119">
        <v>8377</v>
      </c>
      <c r="F38" s="145">
        <f t="shared" si="1"/>
        <v>1507860</v>
      </c>
    </row>
    <row r="39" spans="1:6" ht="25.5" x14ac:dyDescent="0.2">
      <c r="A39" s="116">
        <v>4</v>
      </c>
      <c r="B39" s="127" t="s">
        <v>18</v>
      </c>
      <c r="C39" s="117" t="s">
        <v>22</v>
      </c>
      <c r="D39" s="118">
        <v>72</v>
      </c>
      <c r="E39" s="119">
        <v>12600</v>
      </c>
      <c r="F39" s="145">
        <f t="shared" si="1"/>
        <v>907200</v>
      </c>
    </row>
    <row r="40" spans="1:6" x14ac:dyDescent="0.2">
      <c r="A40" s="128">
        <v>5</v>
      </c>
      <c r="B40" s="123" t="s">
        <v>19</v>
      </c>
      <c r="C40" s="117" t="s">
        <v>45</v>
      </c>
      <c r="D40" s="118">
        <v>2</v>
      </c>
      <c r="E40" s="119">
        <v>143842</v>
      </c>
      <c r="F40" s="145">
        <f t="shared" si="1"/>
        <v>287684</v>
      </c>
    </row>
    <row r="41" spans="1:6" x14ac:dyDescent="0.2">
      <c r="A41" s="116">
        <v>6</v>
      </c>
      <c r="B41" s="127" t="s">
        <v>20</v>
      </c>
      <c r="C41" s="117" t="s">
        <v>45</v>
      </c>
      <c r="D41" s="118">
        <v>1</v>
      </c>
      <c r="E41" s="119">
        <v>728158</v>
      </c>
      <c r="F41" s="145">
        <f t="shared" si="1"/>
        <v>728158</v>
      </c>
    </row>
    <row r="42" spans="1:6" x14ac:dyDescent="0.2">
      <c r="A42" s="128">
        <v>7</v>
      </c>
      <c r="B42" s="114" t="s">
        <v>48</v>
      </c>
      <c r="C42" s="115"/>
      <c r="D42" s="115"/>
      <c r="E42" s="119"/>
      <c r="F42" s="145" t="s">
        <v>0</v>
      </c>
    </row>
    <row r="43" spans="1:6" x14ac:dyDescent="0.2">
      <c r="A43" s="116">
        <v>8</v>
      </c>
      <c r="B43" s="147" t="s">
        <v>111</v>
      </c>
      <c r="C43" s="117" t="s">
        <v>22</v>
      </c>
      <c r="D43" s="118">
        <v>84</v>
      </c>
      <c r="E43" s="119">
        <v>7065</v>
      </c>
      <c r="F43" s="145">
        <f t="shared" si="1"/>
        <v>593460</v>
      </c>
    </row>
    <row r="44" spans="1:6" ht="38.25" x14ac:dyDescent="0.2">
      <c r="A44" s="128">
        <v>9</v>
      </c>
      <c r="B44" s="127" t="s">
        <v>192</v>
      </c>
      <c r="C44" s="117" t="s">
        <v>302</v>
      </c>
      <c r="D44" s="118">
        <v>6.5</v>
      </c>
      <c r="E44" s="119">
        <v>77141</v>
      </c>
      <c r="F44" s="145">
        <f t="shared" si="1"/>
        <v>501417</v>
      </c>
    </row>
    <row r="45" spans="1:6" x14ac:dyDescent="0.2">
      <c r="A45" s="116">
        <v>10</v>
      </c>
      <c r="B45" s="114" t="s">
        <v>51</v>
      </c>
      <c r="C45" s="115"/>
      <c r="D45" s="115"/>
      <c r="E45" s="119"/>
      <c r="F45" s="145" t="s">
        <v>0</v>
      </c>
    </row>
    <row r="46" spans="1:6" x14ac:dyDescent="0.2">
      <c r="A46" s="128">
        <v>11</v>
      </c>
      <c r="B46" s="123" t="s">
        <v>147</v>
      </c>
      <c r="C46" s="117" t="s">
        <v>302</v>
      </c>
      <c r="D46" s="118">
        <v>55</v>
      </c>
      <c r="E46" s="119">
        <v>24368</v>
      </c>
      <c r="F46" s="145">
        <f t="shared" si="1"/>
        <v>1340240</v>
      </c>
    </row>
    <row r="47" spans="1:6" x14ac:dyDescent="0.2">
      <c r="A47" s="116">
        <v>12</v>
      </c>
      <c r="B47" s="123" t="s">
        <v>196</v>
      </c>
      <c r="C47" s="117" t="s">
        <v>302</v>
      </c>
      <c r="D47" s="118">
        <v>10</v>
      </c>
      <c r="E47" s="119">
        <v>28410</v>
      </c>
      <c r="F47" s="145">
        <f t="shared" si="1"/>
        <v>284100</v>
      </c>
    </row>
    <row r="48" spans="1:6" x14ac:dyDescent="0.2">
      <c r="A48" s="128">
        <v>13</v>
      </c>
      <c r="B48" s="123" t="s">
        <v>574</v>
      </c>
      <c r="C48" s="117" t="s">
        <v>302</v>
      </c>
      <c r="D48" s="118">
        <v>10</v>
      </c>
      <c r="E48" s="119">
        <v>52500</v>
      </c>
      <c r="F48" s="145">
        <f t="shared" si="1"/>
        <v>525000</v>
      </c>
    </row>
    <row r="49" spans="1:6" x14ac:dyDescent="0.2">
      <c r="A49" s="116">
        <v>14</v>
      </c>
      <c r="B49" s="123" t="s">
        <v>197</v>
      </c>
      <c r="C49" s="117" t="s">
        <v>22</v>
      </c>
      <c r="D49" s="118">
        <v>30</v>
      </c>
      <c r="E49" s="119">
        <v>28823</v>
      </c>
      <c r="F49" s="145">
        <f t="shared" si="1"/>
        <v>864690</v>
      </c>
    </row>
    <row r="50" spans="1:6" ht="25.5" x14ac:dyDescent="0.2">
      <c r="A50" s="128">
        <v>15</v>
      </c>
      <c r="B50" s="127" t="s">
        <v>575</v>
      </c>
      <c r="C50" s="117" t="s">
        <v>14</v>
      </c>
      <c r="D50" s="118">
        <v>1</v>
      </c>
      <c r="E50" s="119">
        <v>680000</v>
      </c>
      <c r="F50" s="145">
        <f t="shared" si="1"/>
        <v>680000</v>
      </c>
    </row>
    <row r="51" spans="1:6" ht="38.25" x14ac:dyDescent="0.2">
      <c r="A51" s="116">
        <v>16</v>
      </c>
      <c r="B51" s="121" t="s">
        <v>576</v>
      </c>
      <c r="C51" s="117" t="s">
        <v>302</v>
      </c>
      <c r="D51" s="118">
        <v>22</v>
      </c>
      <c r="E51" s="119">
        <v>51000</v>
      </c>
      <c r="F51" s="145">
        <f t="shared" si="1"/>
        <v>1122000</v>
      </c>
    </row>
    <row r="52" spans="1:6" x14ac:dyDescent="0.2">
      <c r="A52" s="128">
        <v>17</v>
      </c>
      <c r="B52" s="114" t="s">
        <v>148</v>
      </c>
      <c r="C52" s="115"/>
      <c r="D52" s="115"/>
      <c r="E52" s="119"/>
      <c r="F52" s="145" t="s">
        <v>0</v>
      </c>
    </row>
    <row r="53" spans="1:6" ht="25.5" x14ac:dyDescent="0.2">
      <c r="A53" s="116">
        <v>18</v>
      </c>
      <c r="B53" s="605" t="s">
        <v>644</v>
      </c>
      <c r="C53" s="117" t="s">
        <v>22</v>
      </c>
      <c r="D53" s="118">
        <v>30</v>
      </c>
      <c r="E53" s="119">
        <f>12*1835</f>
        <v>22020</v>
      </c>
      <c r="F53" s="145">
        <f t="shared" si="1"/>
        <v>660600</v>
      </c>
    </row>
    <row r="54" spans="1:6" ht="44.25" customHeight="1" x14ac:dyDescent="0.2">
      <c r="A54" s="128">
        <v>19</v>
      </c>
      <c r="B54" s="122" t="s">
        <v>149</v>
      </c>
      <c r="C54" s="117" t="s">
        <v>22</v>
      </c>
      <c r="D54" s="118">
        <v>4</v>
      </c>
      <c r="E54" s="119">
        <v>590196</v>
      </c>
      <c r="F54" s="145">
        <f t="shared" si="1"/>
        <v>2360784</v>
      </c>
    </row>
    <row r="55" spans="1:6" ht="38.25" x14ac:dyDescent="0.2">
      <c r="A55" s="116">
        <v>20</v>
      </c>
      <c r="B55" s="127" t="s">
        <v>198</v>
      </c>
      <c r="C55" s="117" t="s">
        <v>116</v>
      </c>
      <c r="D55" s="118">
        <v>2</v>
      </c>
      <c r="E55" s="119">
        <v>680000</v>
      </c>
      <c r="F55" s="145">
        <f t="shared" si="1"/>
        <v>1360000</v>
      </c>
    </row>
    <row r="56" spans="1:6" x14ac:dyDescent="0.2">
      <c r="A56" s="128">
        <v>21</v>
      </c>
      <c r="B56" s="123" t="s">
        <v>151</v>
      </c>
      <c r="C56" s="117" t="s">
        <v>116</v>
      </c>
      <c r="D56" s="118">
        <v>3</v>
      </c>
      <c r="E56" s="119">
        <v>500414</v>
      </c>
      <c r="F56" s="145">
        <f t="shared" si="1"/>
        <v>1501242</v>
      </c>
    </row>
    <row r="57" spans="1:6" ht="25.5" x14ac:dyDescent="0.2">
      <c r="A57" s="116">
        <v>22</v>
      </c>
      <c r="B57" s="121" t="s">
        <v>23</v>
      </c>
      <c r="C57" s="117" t="s">
        <v>22</v>
      </c>
      <c r="D57" s="118">
        <v>12</v>
      </c>
      <c r="E57" s="119">
        <v>12780</v>
      </c>
      <c r="F57" s="145">
        <f t="shared" si="1"/>
        <v>153360</v>
      </c>
    </row>
    <row r="58" spans="1:6" ht="25.5" x14ac:dyDescent="0.2">
      <c r="A58" s="128">
        <v>23</v>
      </c>
      <c r="B58" s="127" t="s">
        <v>24</v>
      </c>
      <c r="C58" s="117" t="s">
        <v>45</v>
      </c>
      <c r="D58" s="118">
        <v>4</v>
      </c>
      <c r="E58" s="119">
        <v>370202</v>
      </c>
      <c r="F58" s="145">
        <f t="shared" si="1"/>
        <v>1480808</v>
      </c>
    </row>
    <row r="59" spans="1:6" x14ac:dyDescent="0.2">
      <c r="A59" s="116">
        <v>24</v>
      </c>
      <c r="B59" s="123" t="s">
        <v>194</v>
      </c>
      <c r="C59" s="117" t="s">
        <v>45</v>
      </c>
      <c r="D59" s="118">
        <v>4</v>
      </c>
      <c r="E59" s="119">
        <v>40262</v>
      </c>
      <c r="F59" s="145">
        <f t="shared" si="1"/>
        <v>161048</v>
      </c>
    </row>
    <row r="60" spans="1:6" x14ac:dyDescent="0.2">
      <c r="A60" s="128">
        <v>25</v>
      </c>
      <c r="B60" s="123" t="s">
        <v>152</v>
      </c>
      <c r="C60" s="117" t="s">
        <v>45</v>
      </c>
      <c r="D60" s="118">
        <v>2</v>
      </c>
      <c r="E60" s="119">
        <v>83623</v>
      </c>
      <c r="F60" s="145">
        <f t="shared" si="1"/>
        <v>167246</v>
      </c>
    </row>
    <row r="61" spans="1:6" x14ac:dyDescent="0.2">
      <c r="A61" s="116">
        <v>26</v>
      </c>
      <c r="B61" s="114" t="s">
        <v>120</v>
      </c>
      <c r="C61" s="115"/>
      <c r="D61" s="115"/>
      <c r="E61" s="119"/>
      <c r="F61" s="145" t="s">
        <v>0</v>
      </c>
    </row>
    <row r="62" spans="1:6" x14ac:dyDescent="0.2">
      <c r="A62" s="128">
        <v>27</v>
      </c>
      <c r="B62" s="123" t="s">
        <v>25</v>
      </c>
      <c r="C62" s="117" t="s">
        <v>302</v>
      </c>
      <c r="D62" s="118">
        <v>5</v>
      </c>
      <c r="E62" s="119">
        <v>111720</v>
      </c>
      <c r="F62" s="145">
        <f t="shared" si="1"/>
        <v>558600</v>
      </c>
    </row>
    <row r="63" spans="1:6" ht="25.5" x14ac:dyDescent="0.2">
      <c r="A63" s="116">
        <v>28</v>
      </c>
      <c r="B63" s="127" t="s">
        <v>121</v>
      </c>
      <c r="C63" s="117" t="s">
        <v>302</v>
      </c>
      <c r="D63" s="118">
        <v>28</v>
      </c>
      <c r="E63" s="119">
        <v>20492</v>
      </c>
      <c r="F63" s="145">
        <f t="shared" si="1"/>
        <v>573776</v>
      </c>
    </row>
    <row r="64" spans="1:6" ht="25.5" x14ac:dyDescent="0.2">
      <c r="A64" s="128">
        <v>29</v>
      </c>
      <c r="B64" s="127" t="s">
        <v>577</v>
      </c>
      <c r="C64" s="117" t="s">
        <v>302</v>
      </c>
      <c r="D64" s="118">
        <v>30</v>
      </c>
      <c r="E64" s="119">
        <v>38500</v>
      </c>
      <c r="F64" s="145">
        <f t="shared" si="1"/>
        <v>1155000</v>
      </c>
    </row>
    <row r="65" spans="1:6" x14ac:dyDescent="0.2">
      <c r="A65" s="116">
        <v>30</v>
      </c>
      <c r="B65" s="123" t="s">
        <v>153</v>
      </c>
      <c r="C65" s="117" t="s">
        <v>302</v>
      </c>
      <c r="D65" s="118">
        <v>9</v>
      </c>
      <c r="E65" s="119">
        <v>134118</v>
      </c>
      <c r="F65" s="145">
        <f t="shared" si="1"/>
        <v>1207062</v>
      </c>
    </row>
    <row r="66" spans="1:6" x14ac:dyDescent="0.2">
      <c r="A66" s="128">
        <v>31</v>
      </c>
      <c r="B66" s="114" t="s">
        <v>123</v>
      </c>
      <c r="C66" s="115"/>
      <c r="D66" s="115"/>
      <c r="E66" s="119"/>
      <c r="F66" s="145" t="s">
        <v>0</v>
      </c>
    </row>
    <row r="67" spans="1:6" ht="25.5" x14ac:dyDescent="0.2">
      <c r="A67" s="116">
        <v>32</v>
      </c>
      <c r="B67" s="127" t="s">
        <v>154</v>
      </c>
      <c r="C67" s="117" t="s">
        <v>302</v>
      </c>
      <c r="D67" s="118">
        <v>0.5</v>
      </c>
      <c r="E67" s="119">
        <v>560630</v>
      </c>
      <c r="F67" s="145">
        <f t="shared" si="1"/>
        <v>280315</v>
      </c>
    </row>
    <row r="68" spans="1:6" ht="25.5" x14ac:dyDescent="0.2">
      <c r="A68" s="128">
        <v>33</v>
      </c>
      <c r="B68" s="127" t="s">
        <v>195</v>
      </c>
      <c r="C68" s="117" t="s">
        <v>302</v>
      </c>
      <c r="D68" s="118">
        <v>6.5</v>
      </c>
      <c r="E68" s="119">
        <v>761360</v>
      </c>
      <c r="F68" s="145">
        <f t="shared" si="1"/>
        <v>4948840</v>
      </c>
    </row>
    <row r="69" spans="1:6" x14ac:dyDescent="0.2">
      <c r="A69" s="116">
        <v>34</v>
      </c>
      <c r="B69" s="114" t="s">
        <v>74</v>
      </c>
      <c r="C69" s="115"/>
      <c r="D69" s="115"/>
      <c r="E69" s="119"/>
      <c r="F69" s="145" t="s">
        <v>0</v>
      </c>
    </row>
    <row r="70" spans="1:6" x14ac:dyDescent="0.2">
      <c r="A70" s="128">
        <v>35</v>
      </c>
      <c r="B70" s="123" t="s">
        <v>171</v>
      </c>
      <c r="C70" s="117" t="s">
        <v>136</v>
      </c>
      <c r="D70" s="118">
        <v>36</v>
      </c>
      <c r="E70" s="119">
        <v>5484</v>
      </c>
      <c r="F70" s="145">
        <f t="shared" si="1"/>
        <v>197424</v>
      </c>
    </row>
    <row r="71" spans="1:6" ht="25.5" x14ac:dyDescent="0.2">
      <c r="A71" s="116">
        <v>36</v>
      </c>
      <c r="B71" s="127" t="s">
        <v>137</v>
      </c>
      <c r="C71" s="117" t="s">
        <v>99</v>
      </c>
      <c r="D71" s="118">
        <v>1</v>
      </c>
      <c r="E71" s="119">
        <v>1549202</v>
      </c>
      <c r="F71" s="145">
        <f t="shared" si="1"/>
        <v>1549202</v>
      </c>
    </row>
    <row r="72" spans="1:6" x14ac:dyDescent="0.2">
      <c r="A72" s="128"/>
      <c r="B72" s="628" t="s">
        <v>385</v>
      </c>
      <c r="C72" s="628"/>
      <c r="D72" s="628"/>
      <c r="E72" s="628"/>
      <c r="F72" s="135">
        <f>ROUND(F71+F70+F68+F67+F65+F64+F63+F62+F60+F59+F58+F57+F56+F55+F54+F53+F51+F50+F49+F48+F47+F46+F43+F44+F41+F40+F39+F38+F37,0)</f>
        <v>27801956</v>
      </c>
    </row>
    <row r="73" spans="1:6" x14ac:dyDescent="0.2">
      <c r="A73" s="128"/>
      <c r="B73" s="624" t="s">
        <v>578</v>
      </c>
      <c r="C73" s="625"/>
      <c r="D73" s="625"/>
      <c r="E73" s="626"/>
      <c r="F73" s="135">
        <f>ROUND(F72/1.3495,0)</f>
        <v>20601672</v>
      </c>
    </row>
    <row r="74" spans="1:6" x14ac:dyDescent="0.2">
      <c r="A74" s="128"/>
      <c r="B74" s="624" t="s">
        <v>579</v>
      </c>
      <c r="C74" s="625"/>
      <c r="D74" s="626"/>
      <c r="E74" s="154">
        <v>0.24</v>
      </c>
      <c r="F74" s="135">
        <f>ROUND(F73*E74,0)</f>
        <v>4944401</v>
      </c>
    </row>
    <row r="75" spans="1:6" x14ac:dyDescent="0.2">
      <c r="A75" s="128"/>
      <c r="B75" s="624" t="s">
        <v>386</v>
      </c>
      <c r="C75" s="625"/>
      <c r="D75" s="626"/>
      <c r="E75" s="154">
        <v>0.05</v>
      </c>
      <c r="F75" s="135">
        <f>ROUND(F73*E75,0)</f>
        <v>1030084</v>
      </c>
    </row>
    <row r="76" spans="1:6" x14ac:dyDescent="0.2">
      <c r="A76" s="128"/>
      <c r="B76" s="624" t="s">
        <v>534</v>
      </c>
      <c r="C76" s="625"/>
      <c r="D76" s="626"/>
      <c r="E76" s="154">
        <v>0.05</v>
      </c>
      <c r="F76" s="135">
        <f>ROUND(F73*E76,0)</f>
        <v>1030084</v>
      </c>
    </row>
    <row r="77" spans="1:6" x14ac:dyDescent="0.2">
      <c r="A77" s="128"/>
      <c r="B77" s="624" t="s">
        <v>82</v>
      </c>
      <c r="C77" s="625"/>
      <c r="D77" s="626"/>
      <c r="E77" s="154">
        <v>0.19</v>
      </c>
      <c r="F77" s="135">
        <f>ROUND(F76*E77,0)</f>
        <v>195716</v>
      </c>
    </row>
    <row r="78" spans="1:6" x14ac:dyDescent="0.2">
      <c r="A78" s="128"/>
      <c r="B78" s="624" t="s">
        <v>385</v>
      </c>
      <c r="C78" s="625"/>
      <c r="D78" s="625"/>
      <c r="E78" s="626"/>
      <c r="F78" s="135">
        <f>ROUND(F73+F74+F75+F76+F77,0)</f>
        <v>27801957</v>
      </c>
    </row>
    <row r="81" spans="1:6" x14ac:dyDescent="0.2">
      <c r="A81" s="155"/>
      <c r="B81" s="156" t="s">
        <v>734</v>
      </c>
      <c r="C81" s="157"/>
      <c r="D81" s="158"/>
      <c r="E81" s="159"/>
      <c r="F81" s="160"/>
    </row>
    <row r="82" spans="1:6" ht="13.5" thickBot="1" x14ac:dyDescent="0.25">
      <c r="A82" s="161" t="s">
        <v>15</v>
      </c>
      <c r="B82" s="162" t="s">
        <v>16</v>
      </c>
      <c r="C82" s="161" t="s">
        <v>452</v>
      </c>
      <c r="D82" s="163" t="s">
        <v>35</v>
      </c>
      <c r="E82" s="164" t="s">
        <v>526</v>
      </c>
      <c r="F82" s="165" t="s">
        <v>37</v>
      </c>
    </row>
    <row r="83" spans="1:6" ht="13.5" thickBot="1" x14ac:dyDescent="0.25">
      <c r="A83" s="166"/>
      <c r="B83" s="167" t="s">
        <v>527</v>
      </c>
      <c r="C83" s="168"/>
      <c r="D83" s="169"/>
      <c r="E83" s="170"/>
      <c r="F83" s="171"/>
    </row>
    <row r="84" spans="1:6" x14ac:dyDescent="0.2">
      <c r="A84" s="172">
        <v>1</v>
      </c>
      <c r="B84" s="173" t="s">
        <v>38</v>
      </c>
      <c r="C84" s="174"/>
      <c r="D84" s="175"/>
      <c r="E84" s="176"/>
      <c r="F84" s="177"/>
    </row>
    <row r="85" spans="1:6" ht="38.25" x14ac:dyDescent="0.2">
      <c r="A85" s="27" t="s">
        <v>11</v>
      </c>
      <c r="B85" s="178" t="s">
        <v>702</v>
      </c>
      <c r="C85" s="179" t="s">
        <v>27</v>
      </c>
      <c r="D85" s="180">
        <v>4</v>
      </c>
      <c r="E85" s="181">
        <v>148136</v>
      </c>
      <c r="F85" s="182">
        <f>ROUND(D85*E85,0)</f>
        <v>592544</v>
      </c>
    </row>
    <row r="86" spans="1:6" ht="38.25" x14ac:dyDescent="0.2">
      <c r="A86" s="27" t="s">
        <v>178</v>
      </c>
      <c r="B86" s="183" t="s">
        <v>739</v>
      </c>
      <c r="C86" s="179" t="s">
        <v>329</v>
      </c>
      <c r="D86" s="28">
        <v>120</v>
      </c>
      <c r="E86" s="181">
        <v>8916</v>
      </c>
      <c r="F86" s="182">
        <f>ROUND(D86*E86,0)</f>
        <v>1069920</v>
      </c>
    </row>
    <row r="87" spans="1:6" ht="25.5" x14ac:dyDescent="0.2">
      <c r="A87" s="27" t="s">
        <v>13</v>
      </c>
      <c r="B87" s="178" t="s">
        <v>740</v>
      </c>
      <c r="C87" s="179" t="s">
        <v>27</v>
      </c>
      <c r="D87" s="28">
        <v>232</v>
      </c>
      <c r="E87" s="181">
        <v>1805</v>
      </c>
      <c r="F87" s="182">
        <f>ROUND(D87*E87,0)</f>
        <v>418760</v>
      </c>
    </row>
    <row r="88" spans="1:6" ht="25.5" x14ac:dyDescent="0.2">
      <c r="A88" s="27">
        <v>1.4</v>
      </c>
      <c r="B88" s="178" t="s">
        <v>741</v>
      </c>
      <c r="C88" s="179" t="s">
        <v>27</v>
      </c>
      <c r="D88" s="28">
        <v>344</v>
      </c>
      <c r="E88" s="181">
        <v>10935</v>
      </c>
      <c r="F88" s="182">
        <f>ROUND(D88*E88,0)</f>
        <v>3761640</v>
      </c>
    </row>
    <row r="89" spans="1:6" ht="25.5" x14ac:dyDescent="0.2">
      <c r="A89" s="27">
        <v>1.5</v>
      </c>
      <c r="B89" s="178" t="s">
        <v>703</v>
      </c>
      <c r="C89" s="179" t="s">
        <v>27</v>
      </c>
      <c r="D89" s="28">
        <v>18</v>
      </c>
      <c r="E89" s="181">
        <v>126000</v>
      </c>
      <c r="F89" s="182">
        <f>ROUND(D89*E89,0)</f>
        <v>2268000</v>
      </c>
    </row>
    <row r="90" spans="1:6" x14ac:dyDescent="0.2">
      <c r="A90" s="27"/>
      <c r="B90" s="184" t="s">
        <v>331</v>
      </c>
      <c r="C90" s="179"/>
      <c r="D90" s="28"/>
      <c r="E90" s="181"/>
      <c r="F90" s="185">
        <f>ROUND(SUM(F85:F89),0)</f>
        <v>8110864</v>
      </c>
    </row>
    <row r="91" spans="1:6" x14ac:dyDescent="0.2">
      <c r="A91" s="186">
        <v>2</v>
      </c>
      <c r="B91" s="187" t="s">
        <v>525</v>
      </c>
      <c r="C91" s="179"/>
      <c r="D91" s="28"/>
      <c r="E91" s="181"/>
      <c r="F91" s="182"/>
    </row>
    <row r="92" spans="1:6" ht="25.5" x14ac:dyDescent="0.2">
      <c r="A92" s="27" t="s">
        <v>183</v>
      </c>
      <c r="B92" s="178" t="s">
        <v>704</v>
      </c>
      <c r="C92" s="179" t="s">
        <v>12</v>
      </c>
      <c r="D92" s="28">
        <v>200</v>
      </c>
      <c r="E92" s="181">
        <v>19645</v>
      </c>
      <c r="F92" s="182">
        <f t="shared" ref="F92:F104" si="2">ROUND(D92*E92,0)</f>
        <v>3929000</v>
      </c>
    </row>
    <row r="93" spans="1:6" ht="38.25" x14ac:dyDescent="0.2">
      <c r="A93" s="27" t="s">
        <v>249</v>
      </c>
      <c r="B93" s="178" t="s">
        <v>715</v>
      </c>
      <c r="C93" s="179" t="s">
        <v>12</v>
      </c>
      <c r="D93" s="28">
        <v>200</v>
      </c>
      <c r="E93" s="181">
        <v>26942</v>
      </c>
      <c r="F93" s="182">
        <f t="shared" si="2"/>
        <v>5388400</v>
      </c>
    </row>
    <row r="94" spans="1:6" ht="51" x14ac:dyDescent="0.2">
      <c r="A94" s="27" t="s">
        <v>251</v>
      </c>
      <c r="B94" s="178" t="s">
        <v>716</v>
      </c>
      <c r="C94" s="179" t="s">
        <v>12</v>
      </c>
      <c r="D94" s="29">
        <v>14.67</v>
      </c>
      <c r="E94" s="181">
        <v>95567</v>
      </c>
      <c r="F94" s="182">
        <f t="shared" si="2"/>
        <v>1401968</v>
      </c>
    </row>
    <row r="95" spans="1:6" ht="25.5" x14ac:dyDescent="0.2">
      <c r="A95" s="27" t="s">
        <v>262</v>
      </c>
      <c r="B95" s="178" t="s">
        <v>717</v>
      </c>
      <c r="C95" s="179" t="s">
        <v>12</v>
      </c>
      <c r="D95" s="29">
        <v>13.91</v>
      </c>
      <c r="E95" s="181">
        <v>15547</v>
      </c>
      <c r="F95" s="182">
        <f t="shared" si="2"/>
        <v>216259</v>
      </c>
    </row>
    <row r="96" spans="1:6" x14ac:dyDescent="0.2">
      <c r="A96" s="27" t="s">
        <v>263</v>
      </c>
      <c r="B96" s="178" t="s">
        <v>718</v>
      </c>
      <c r="C96" s="179" t="s">
        <v>12</v>
      </c>
      <c r="D96" s="29">
        <v>2.38</v>
      </c>
      <c r="E96" s="181">
        <v>357932</v>
      </c>
      <c r="F96" s="182">
        <f t="shared" si="2"/>
        <v>851878</v>
      </c>
    </row>
    <row r="97" spans="1:6" ht="51" x14ac:dyDescent="0.2">
      <c r="A97" s="27" t="s">
        <v>264</v>
      </c>
      <c r="B97" s="178" t="s">
        <v>786</v>
      </c>
      <c r="C97" s="179" t="s">
        <v>12</v>
      </c>
      <c r="D97" s="29">
        <v>18.62</v>
      </c>
      <c r="E97" s="181">
        <v>840000</v>
      </c>
      <c r="F97" s="182">
        <f t="shared" si="2"/>
        <v>15640800</v>
      </c>
    </row>
    <row r="98" spans="1:6" ht="38.25" x14ac:dyDescent="0.2">
      <c r="A98" s="27" t="s">
        <v>265</v>
      </c>
      <c r="B98" s="183" t="s">
        <v>773</v>
      </c>
      <c r="C98" s="179" t="s">
        <v>12</v>
      </c>
      <c r="D98" s="29">
        <v>4.96</v>
      </c>
      <c r="E98" s="181">
        <v>12000</v>
      </c>
      <c r="F98" s="182">
        <f t="shared" si="2"/>
        <v>59520</v>
      </c>
    </row>
    <row r="99" spans="1:6" ht="38.25" x14ac:dyDescent="0.2">
      <c r="A99" s="27" t="s">
        <v>266</v>
      </c>
      <c r="B99" s="178" t="s">
        <v>719</v>
      </c>
      <c r="C99" s="179" t="s">
        <v>12</v>
      </c>
      <c r="D99" s="29">
        <v>54.82</v>
      </c>
      <c r="E99" s="181">
        <v>840000</v>
      </c>
      <c r="F99" s="182">
        <f t="shared" si="2"/>
        <v>46048800</v>
      </c>
    </row>
    <row r="100" spans="1:6" ht="38.25" x14ac:dyDescent="0.2">
      <c r="A100" s="27" t="s">
        <v>465</v>
      </c>
      <c r="B100" s="178" t="s">
        <v>720</v>
      </c>
      <c r="C100" s="179" t="s">
        <v>12</v>
      </c>
      <c r="D100" s="29">
        <v>13.79</v>
      </c>
      <c r="E100" s="181">
        <v>811376</v>
      </c>
      <c r="F100" s="182">
        <f t="shared" si="2"/>
        <v>11188875</v>
      </c>
    </row>
    <row r="101" spans="1:6" ht="25.5" x14ac:dyDescent="0.2">
      <c r="A101" s="27" t="s">
        <v>467</v>
      </c>
      <c r="B101" s="183" t="s">
        <v>721</v>
      </c>
      <c r="C101" s="179" t="s">
        <v>12</v>
      </c>
      <c r="D101" s="29">
        <v>0.8</v>
      </c>
      <c r="E101" s="181">
        <v>852230</v>
      </c>
      <c r="F101" s="182">
        <f t="shared" si="2"/>
        <v>681784</v>
      </c>
    </row>
    <row r="102" spans="1:6" ht="38.25" x14ac:dyDescent="0.2">
      <c r="A102" s="27" t="s">
        <v>469</v>
      </c>
      <c r="B102" s="178" t="s">
        <v>722</v>
      </c>
      <c r="C102" s="179" t="s">
        <v>12</v>
      </c>
      <c r="D102" s="29">
        <v>0.60000000000000009</v>
      </c>
      <c r="E102" s="181">
        <v>852230</v>
      </c>
      <c r="F102" s="182">
        <f t="shared" si="2"/>
        <v>511338</v>
      </c>
    </row>
    <row r="103" spans="1:6" ht="38.25" x14ac:dyDescent="0.2">
      <c r="A103" s="27" t="s">
        <v>487</v>
      </c>
      <c r="B103" s="178" t="s">
        <v>723</v>
      </c>
      <c r="C103" s="179" t="s">
        <v>12</v>
      </c>
      <c r="D103" s="29">
        <v>1.66</v>
      </c>
      <c r="E103" s="181">
        <v>862798</v>
      </c>
      <c r="F103" s="182">
        <f t="shared" si="2"/>
        <v>1432245</v>
      </c>
    </row>
    <row r="104" spans="1:6" ht="51" x14ac:dyDescent="0.2">
      <c r="A104" s="27" t="s">
        <v>489</v>
      </c>
      <c r="B104" s="178" t="s">
        <v>724</v>
      </c>
      <c r="C104" s="179" t="s">
        <v>130</v>
      </c>
      <c r="D104" s="28">
        <v>18475</v>
      </c>
      <c r="E104" s="181">
        <v>4400</v>
      </c>
      <c r="F104" s="182">
        <f t="shared" si="2"/>
        <v>81290000</v>
      </c>
    </row>
    <row r="105" spans="1:6" x14ac:dyDescent="0.2">
      <c r="A105" s="27" t="s">
        <v>491</v>
      </c>
      <c r="B105" s="178" t="s">
        <v>725</v>
      </c>
      <c r="C105" s="179" t="s">
        <v>748</v>
      </c>
      <c r="D105" s="28">
        <v>40</v>
      </c>
      <c r="E105" s="181">
        <v>54020</v>
      </c>
      <c r="F105" s="182">
        <f>ROUND(D105*E105,0)</f>
        <v>2160800</v>
      </c>
    </row>
    <row r="106" spans="1:6" ht="63.75" x14ac:dyDescent="0.2">
      <c r="A106" s="27" t="s">
        <v>492</v>
      </c>
      <c r="B106" s="178" t="s">
        <v>705</v>
      </c>
      <c r="C106" s="179" t="s">
        <v>14</v>
      </c>
      <c r="D106" s="28">
        <v>25</v>
      </c>
      <c r="E106" s="181">
        <v>36850</v>
      </c>
      <c r="F106" s="182">
        <f>ROUND(D106*E106,0)</f>
        <v>921250</v>
      </c>
    </row>
    <row r="107" spans="1:6" x14ac:dyDescent="0.2">
      <c r="A107" s="27" t="s">
        <v>706</v>
      </c>
      <c r="B107" s="183" t="s">
        <v>707</v>
      </c>
      <c r="C107" s="179" t="s">
        <v>12</v>
      </c>
      <c r="D107" s="29">
        <v>6.9399999999999995</v>
      </c>
      <c r="E107" s="181">
        <v>704707</v>
      </c>
      <c r="F107" s="182">
        <f>ROUND(D107*E107,0)</f>
        <v>4890667</v>
      </c>
    </row>
    <row r="108" spans="1:6" x14ac:dyDescent="0.2">
      <c r="A108" s="27"/>
      <c r="B108" s="184" t="s">
        <v>331</v>
      </c>
      <c r="C108" s="179"/>
      <c r="D108" s="28"/>
      <c r="E108" s="181"/>
      <c r="F108" s="185">
        <f>ROUND(SUM(F92:F107),0)</f>
        <v>176613584</v>
      </c>
    </row>
    <row r="109" spans="1:6" x14ac:dyDescent="0.2">
      <c r="A109" s="27"/>
      <c r="B109" s="184"/>
      <c r="C109" s="179"/>
      <c r="D109" s="28"/>
      <c r="E109" s="181"/>
      <c r="F109" s="185"/>
    </row>
    <row r="110" spans="1:6" x14ac:dyDescent="0.2">
      <c r="A110" s="188">
        <v>3</v>
      </c>
      <c r="B110" s="184" t="s">
        <v>528</v>
      </c>
      <c r="C110" s="179"/>
      <c r="D110" s="28"/>
      <c r="E110" s="181"/>
      <c r="F110" s="185"/>
    </row>
    <row r="111" spans="1:6" ht="38.25" x14ac:dyDescent="0.2">
      <c r="A111" s="27" t="s">
        <v>273</v>
      </c>
      <c r="B111" s="178" t="s">
        <v>708</v>
      </c>
      <c r="C111" s="179" t="s">
        <v>14</v>
      </c>
      <c r="D111" s="28">
        <v>2</v>
      </c>
      <c r="E111" s="181">
        <v>813696</v>
      </c>
      <c r="F111" s="182">
        <f>ROUND(D111*E111,0)</f>
        <v>1627392</v>
      </c>
    </row>
    <row r="112" spans="1:6" ht="38.25" x14ac:dyDescent="0.2">
      <c r="A112" s="27" t="s">
        <v>274</v>
      </c>
      <c r="B112" s="183" t="s">
        <v>709</v>
      </c>
      <c r="C112" s="179" t="s">
        <v>14</v>
      </c>
      <c r="D112" s="28">
        <v>2</v>
      </c>
      <c r="E112" s="181">
        <v>591034</v>
      </c>
      <c r="F112" s="182">
        <f>ROUND(D112*E112,0)</f>
        <v>1182068</v>
      </c>
    </row>
    <row r="113" spans="1:6" ht="63.75" x14ac:dyDescent="0.2">
      <c r="A113" s="27" t="s">
        <v>496</v>
      </c>
      <c r="B113" s="189" t="s">
        <v>710</v>
      </c>
      <c r="C113" s="179" t="s">
        <v>14</v>
      </c>
      <c r="D113" s="28">
        <v>2</v>
      </c>
      <c r="E113" s="181">
        <v>1239081</v>
      </c>
      <c r="F113" s="182">
        <f>ROUND(D113*E113,0)</f>
        <v>2478162</v>
      </c>
    </row>
    <row r="114" spans="1:6" ht="25.5" x14ac:dyDescent="0.2">
      <c r="A114" s="27" t="s">
        <v>529</v>
      </c>
      <c r="B114" s="178" t="s">
        <v>711</v>
      </c>
      <c r="C114" s="179" t="s">
        <v>14</v>
      </c>
      <c r="D114" s="28">
        <v>7</v>
      </c>
      <c r="E114" s="181">
        <v>235765</v>
      </c>
      <c r="F114" s="182">
        <f>ROUND(D114*E114,0)</f>
        <v>1650355</v>
      </c>
    </row>
    <row r="115" spans="1:6" x14ac:dyDescent="0.2">
      <c r="A115" s="27"/>
      <c r="B115" s="184" t="s">
        <v>331</v>
      </c>
      <c r="C115" s="179"/>
      <c r="D115" s="28"/>
      <c r="E115" s="181"/>
      <c r="F115" s="185">
        <f>ROUND(SUM(F111:F114),0)</f>
        <v>6937977</v>
      </c>
    </row>
    <row r="116" spans="1:6" x14ac:dyDescent="0.2">
      <c r="A116" s="27"/>
      <c r="B116" s="184"/>
      <c r="C116" s="179"/>
      <c r="D116" s="28"/>
      <c r="E116" s="181"/>
      <c r="F116" s="185"/>
    </row>
    <row r="117" spans="1:6" x14ac:dyDescent="0.2">
      <c r="A117" s="186">
        <v>4</v>
      </c>
      <c r="B117" s="187" t="s">
        <v>712</v>
      </c>
      <c r="C117" s="186"/>
      <c r="D117" s="190"/>
      <c r="E117" s="191"/>
      <c r="F117" s="185"/>
    </row>
    <row r="118" spans="1:6" ht="25.5" x14ac:dyDescent="0.2">
      <c r="A118" s="179" t="s">
        <v>186</v>
      </c>
      <c r="B118" s="178" t="s">
        <v>742</v>
      </c>
      <c r="C118" s="179" t="s">
        <v>12</v>
      </c>
      <c r="D118" s="29">
        <v>112</v>
      </c>
      <c r="E118" s="181">
        <v>20148</v>
      </c>
      <c r="F118" s="182">
        <f t="shared" ref="F118:F124" si="3">ROUND(D118*E118,0)</f>
        <v>2256576</v>
      </c>
    </row>
    <row r="119" spans="1:6" ht="25.5" x14ac:dyDescent="0.2">
      <c r="A119" s="179" t="s">
        <v>187</v>
      </c>
      <c r="B119" s="178" t="s">
        <v>743</v>
      </c>
      <c r="C119" s="179" t="s">
        <v>12</v>
      </c>
      <c r="D119" s="29">
        <v>100.8</v>
      </c>
      <c r="E119" s="181">
        <v>15547</v>
      </c>
      <c r="F119" s="182">
        <f t="shared" si="3"/>
        <v>1567138</v>
      </c>
    </row>
    <row r="120" spans="1:6" ht="25.5" x14ac:dyDescent="0.2">
      <c r="A120" s="179" t="s">
        <v>325</v>
      </c>
      <c r="B120" s="183" t="s">
        <v>713</v>
      </c>
      <c r="C120" s="179" t="s">
        <v>22</v>
      </c>
      <c r="D120" s="29">
        <v>50</v>
      </c>
      <c r="E120" s="181">
        <v>69292</v>
      </c>
      <c r="F120" s="182">
        <f t="shared" si="3"/>
        <v>3464600</v>
      </c>
    </row>
    <row r="121" spans="1:6" ht="25.5" x14ac:dyDescent="0.2">
      <c r="A121" s="179" t="s">
        <v>400</v>
      </c>
      <c r="B121" s="183" t="s">
        <v>744</v>
      </c>
      <c r="C121" s="179" t="s">
        <v>22</v>
      </c>
      <c r="D121" s="29">
        <v>5</v>
      </c>
      <c r="E121" s="181">
        <v>476888</v>
      </c>
      <c r="F121" s="182">
        <f t="shared" si="3"/>
        <v>2384440</v>
      </c>
    </row>
    <row r="122" spans="1:6" ht="38.25" x14ac:dyDescent="0.2">
      <c r="A122" s="179" t="s">
        <v>401</v>
      </c>
      <c r="B122" s="183" t="s">
        <v>745</v>
      </c>
      <c r="C122" s="179" t="s">
        <v>14</v>
      </c>
      <c r="D122" s="29">
        <v>2</v>
      </c>
      <c r="E122" s="181">
        <v>378441</v>
      </c>
      <c r="F122" s="182">
        <f t="shared" si="3"/>
        <v>756882</v>
      </c>
    </row>
    <row r="123" spans="1:6" ht="25.5" x14ac:dyDescent="0.2">
      <c r="A123" s="179" t="s">
        <v>402</v>
      </c>
      <c r="B123" s="178" t="s">
        <v>746</v>
      </c>
      <c r="C123" s="179" t="s">
        <v>14</v>
      </c>
      <c r="D123" s="29">
        <v>2</v>
      </c>
      <c r="E123" s="181">
        <v>757075</v>
      </c>
      <c r="F123" s="182">
        <f t="shared" si="3"/>
        <v>1514150</v>
      </c>
    </row>
    <row r="124" spans="1:6" ht="25.5" x14ac:dyDescent="0.2">
      <c r="A124" s="179" t="s">
        <v>475</v>
      </c>
      <c r="B124" s="178" t="s">
        <v>747</v>
      </c>
      <c r="C124" s="179" t="s">
        <v>12</v>
      </c>
      <c r="D124" s="29">
        <v>1.2</v>
      </c>
      <c r="E124" s="181">
        <v>647592</v>
      </c>
      <c r="F124" s="182">
        <f t="shared" si="3"/>
        <v>777110</v>
      </c>
    </row>
    <row r="125" spans="1:6" x14ac:dyDescent="0.2">
      <c r="A125" s="27"/>
      <c r="B125" s="184" t="s">
        <v>331</v>
      </c>
      <c r="C125" s="179"/>
      <c r="D125" s="28"/>
      <c r="E125" s="181"/>
      <c r="F125" s="185">
        <f>ROUND(SUM(F118:F124),0)</f>
        <v>12720896</v>
      </c>
    </row>
    <row r="126" spans="1:6" ht="13.5" thickBot="1" x14ac:dyDescent="0.25">
      <c r="A126" s="30"/>
      <c r="B126" s="32"/>
      <c r="C126" s="31"/>
      <c r="D126" s="31"/>
      <c r="E126" s="33"/>
      <c r="F126" s="34"/>
    </row>
    <row r="127" spans="1:6" x14ac:dyDescent="0.2">
      <c r="A127" s="192"/>
      <c r="B127" s="193" t="s">
        <v>530</v>
      </c>
      <c r="C127" s="194"/>
      <c r="D127" s="195"/>
      <c r="E127" s="196"/>
      <c r="F127" s="197">
        <f>ROUND((F125+F115+F108+F90),0)</f>
        <v>204383321</v>
      </c>
    </row>
    <row r="128" spans="1:6" x14ac:dyDescent="0.2">
      <c r="A128" s="198"/>
      <c r="B128" s="183" t="s">
        <v>531</v>
      </c>
      <c r="C128" s="179"/>
      <c r="D128" s="28"/>
      <c r="E128" s="181"/>
      <c r="F128" s="199"/>
    </row>
    <row r="129" spans="1:6" x14ac:dyDescent="0.2">
      <c r="A129" s="198"/>
      <c r="B129" s="183" t="s">
        <v>439</v>
      </c>
      <c r="C129" s="179" t="s">
        <v>210</v>
      </c>
      <c r="D129" s="28">
        <v>25</v>
      </c>
      <c r="E129" s="181"/>
      <c r="F129" s="199">
        <f>ROUND(F127*D129/100,0)</f>
        <v>51095830</v>
      </c>
    </row>
    <row r="130" spans="1:6" x14ac:dyDescent="0.2">
      <c r="A130" s="198"/>
      <c r="B130" s="183" t="s">
        <v>32</v>
      </c>
      <c r="C130" s="179" t="s">
        <v>210</v>
      </c>
      <c r="D130" s="28">
        <v>2</v>
      </c>
      <c r="E130" s="181"/>
      <c r="F130" s="199">
        <f>ROUND(F127*D130/100,0)</f>
        <v>4087666</v>
      </c>
    </row>
    <row r="131" spans="1:6" x14ac:dyDescent="0.2">
      <c r="A131" s="198"/>
      <c r="B131" s="183" t="s">
        <v>440</v>
      </c>
      <c r="C131" s="179" t="s">
        <v>210</v>
      </c>
      <c r="D131" s="28">
        <v>5</v>
      </c>
      <c r="E131" s="181"/>
      <c r="F131" s="199">
        <f>ROUND(F127*D131/100,0)</f>
        <v>10219166</v>
      </c>
    </row>
    <row r="132" spans="1:6" x14ac:dyDescent="0.2">
      <c r="A132" s="198"/>
      <c r="B132" s="183" t="s">
        <v>714</v>
      </c>
      <c r="C132" s="179" t="s">
        <v>210</v>
      </c>
      <c r="D132" s="28">
        <v>19</v>
      </c>
      <c r="E132" s="181"/>
      <c r="F132" s="199">
        <f>ROUND(F131*D132/100,0)</f>
        <v>1941642</v>
      </c>
    </row>
    <row r="133" spans="1:6" ht="13.5" thickBot="1" x14ac:dyDescent="0.25">
      <c r="A133" s="200"/>
      <c r="B133" s="201" t="s">
        <v>532</v>
      </c>
      <c r="C133" s="161"/>
      <c r="D133" s="163"/>
      <c r="E133" s="202"/>
      <c r="F133" s="203">
        <f>ROUND((SUM(F127:F132)),0)</f>
        <v>271727625</v>
      </c>
    </row>
    <row r="136" spans="1:6" x14ac:dyDescent="0.2">
      <c r="A136" s="636" t="s">
        <v>726</v>
      </c>
      <c r="B136" s="636"/>
      <c r="C136" s="636"/>
      <c r="D136" s="636"/>
      <c r="E136" s="636"/>
      <c r="F136" s="636"/>
    </row>
    <row r="137" spans="1:6" x14ac:dyDescent="0.2">
      <c r="A137" s="204"/>
      <c r="B137" s="205"/>
      <c r="C137" s="205"/>
      <c r="D137" s="205"/>
      <c r="E137" s="205"/>
      <c r="F137" s="205"/>
    </row>
    <row r="138" spans="1:6" x14ac:dyDescent="0.2">
      <c r="A138" s="636" t="s">
        <v>524</v>
      </c>
      <c r="B138" s="636"/>
      <c r="C138" s="636"/>
      <c r="D138" s="636"/>
      <c r="E138" s="636"/>
      <c r="F138" s="636"/>
    </row>
    <row r="139" spans="1:6" x14ac:dyDescent="0.2">
      <c r="A139" s="205"/>
      <c r="B139" s="205"/>
      <c r="C139" s="205"/>
      <c r="D139" s="205"/>
      <c r="E139" s="205"/>
      <c r="F139" s="205"/>
    </row>
    <row r="140" spans="1:6" ht="25.5" x14ac:dyDescent="0.2">
      <c r="A140" s="206" t="s">
        <v>330</v>
      </c>
      <c r="B140" s="207"/>
      <c r="C140" s="207"/>
      <c r="D140" s="207"/>
      <c r="E140" s="207"/>
      <c r="F140" s="208"/>
    </row>
    <row r="141" spans="1:6" x14ac:dyDescent="0.2">
      <c r="A141" s="637" t="s">
        <v>15</v>
      </c>
      <c r="B141" s="637" t="s">
        <v>16</v>
      </c>
      <c r="C141" s="638" t="s">
        <v>160</v>
      </c>
      <c r="D141" s="627" t="s">
        <v>35</v>
      </c>
      <c r="E141" s="634" t="s">
        <v>504</v>
      </c>
      <c r="F141" s="634" t="s">
        <v>84</v>
      </c>
    </row>
    <row r="142" spans="1:6" x14ac:dyDescent="0.2">
      <c r="A142" s="637"/>
      <c r="B142" s="637"/>
      <c r="C142" s="638"/>
      <c r="D142" s="627"/>
      <c r="E142" s="635"/>
      <c r="F142" s="635"/>
    </row>
    <row r="143" spans="1:6" x14ac:dyDescent="0.2">
      <c r="A143" s="209">
        <v>1</v>
      </c>
      <c r="B143" s="210" t="s">
        <v>38</v>
      </c>
      <c r="C143" s="210"/>
      <c r="D143" s="210"/>
      <c r="E143" s="210"/>
      <c r="F143" s="211">
        <f>ROUND(SUM(F144:F152),0)</f>
        <v>2581741</v>
      </c>
    </row>
    <row r="144" spans="1:6" x14ac:dyDescent="0.2">
      <c r="A144" s="116">
        <v>1.1000000000000001</v>
      </c>
      <c r="B144" s="121" t="s">
        <v>485</v>
      </c>
      <c r="C144" s="116" t="s">
        <v>27</v>
      </c>
      <c r="D144" s="116">
        <v>100</v>
      </c>
      <c r="E144" s="212">
        <v>837.39</v>
      </c>
      <c r="F144" s="213">
        <f>ROUND((D144*E144),0)</f>
        <v>83739</v>
      </c>
    </row>
    <row r="145" spans="1:6" ht="25.5" x14ac:dyDescent="0.2">
      <c r="A145" s="116">
        <v>1.2</v>
      </c>
      <c r="B145" s="121" t="s">
        <v>505</v>
      </c>
      <c r="C145" s="116" t="s">
        <v>22</v>
      </c>
      <c r="D145" s="116">
        <v>150</v>
      </c>
      <c r="E145" s="212">
        <v>1187</v>
      </c>
      <c r="F145" s="213">
        <f t="shared" ref="F145:F152" si="4">ROUND((D145*E145),0)</f>
        <v>178050</v>
      </c>
    </row>
    <row r="146" spans="1:6" x14ac:dyDescent="0.2">
      <c r="A146" s="209">
        <v>2</v>
      </c>
      <c r="B146" s="210" t="s">
        <v>456</v>
      </c>
      <c r="C146" s="210"/>
      <c r="D146" s="210"/>
      <c r="E146" s="210"/>
      <c r="F146" s="213" t="s">
        <v>0</v>
      </c>
    </row>
    <row r="147" spans="1:6" ht="25.5" x14ac:dyDescent="0.2">
      <c r="A147" s="116">
        <v>2.1</v>
      </c>
      <c r="B147" s="121" t="s">
        <v>457</v>
      </c>
      <c r="C147" s="35" t="s">
        <v>728</v>
      </c>
      <c r="D147" s="35">
        <v>38.57</v>
      </c>
      <c r="E147" s="212">
        <v>19645</v>
      </c>
      <c r="F147" s="213">
        <f t="shared" si="4"/>
        <v>757708</v>
      </c>
    </row>
    <row r="148" spans="1:6" ht="25.5" x14ac:dyDescent="0.2">
      <c r="A148" s="116">
        <v>2.2000000000000002</v>
      </c>
      <c r="B148" s="121" t="s">
        <v>459</v>
      </c>
      <c r="C148" s="35" t="s">
        <v>729</v>
      </c>
      <c r="D148" s="35">
        <v>9.64</v>
      </c>
      <c r="E148" s="212">
        <v>26699</v>
      </c>
      <c r="F148" s="213">
        <f t="shared" si="4"/>
        <v>257378</v>
      </c>
    </row>
    <row r="149" spans="1:6" ht="25.5" x14ac:dyDescent="0.2">
      <c r="A149" s="116">
        <v>2.2999999999999998</v>
      </c>
      <c r="B149" s="121" t="s">
        <v>463</v>
      </c>
      <c r="C149" s="35" t="s">
        <v>728</v>
      </c>
      <c r="D149" s="35">
        <v>3.09</v>
      </c>
      <c r="E149" s="212">
        <v>86034</v>
      </c>
      <c r="F149" s="213">
        <f t="shared" si="4"/>
        <v>265845</v>
      </c>
    </row>
    <row r="150" spans="1:6" ht="38.25" x14ac:dyDescent="0.2">
      <c r="A150" s="116">
        <v>2.4</v>
      </c>
      <c r="B150" s="121" t="s">
        <v>507</v>
      </c>
      <c r="C150" s="35" t="s">
        <v>728</v>
      </c>
      <c r="D150" s="35">
        <v>6.46</v>
      </c>
      <c r="E150" s="212">
        <v>34948</v>
      </c>
      <c r="F150" s="213">
        <f t="shared" si="4"/>
        <v>225764</v>
      </c>
    </row>
    <row r="151" spans="1:6" ht="25.5" x14ac:dyDescent="0.2">
      <c r="A151" s="116">
        <v>2.5</v>
      </c>
      <c r="B151" s="121" t="s">
        <v>508</v>
      </c>
      <c r="C151" s="35" t="s">
        <v>728</v>
      </c>
      <c r="D151" s="35">
        <v>37.130000000000003</v>
      </c>
      <c r="E151" s="212">
        <v>18251</v>
      </c>
      <c r="F151" s="213">
        <f t="shared" si="4"/>
        <v>677660</v>
      </c>
    </row>
    <row r="152" spans="1:6" ht="25.5" x14ac:dyDescent="0.2">
      <c r="A152" s="116">
        <v>2.6</v>
      </c>
      <c r="B152" s="121" t="s">
        <v>468</v>
      </c>
      <c r="C152" s="35" t="s">
        <v>728</v>
      </c>
      <c r="D152" s="35">
        <v>11.09</v>
      </c>
      <c r="E152" s="212">
        <v>12227</v>
      </c>
      <c r="F152" s="213">
        <f t="shared" si="4"/>
        <v>135597</v>
      </c>
    </row>
    <row r="153" spans="1:6" x14ac:dyDescent="0.2">
      <c r="A153" s="209">
        <v>3</v>
      </c>
      <c r="B153" s="210" t="s">
        <v>509</v>
      </c>
      <c r="C153" s="210"/>
      <c r="D153" s="210"/>
      <c r="E153" s="210"/>
      <c r="F153" s="211">
        <f>F154+F155</f>
        <v>1647700</v>
      </c>
    </row>
    <row r="154" spans="1:6" ht="63.75" x14ac:dyDescent="0.2">
      <c r="A154" s="116">
        <v>3.1</v>
      </c>
      <c r="B154" s="121" t="s">
        <v>511</v>
      </c>
      <c r="C154" s="116" t="s">
        <v>22</v>
      </c>
      <c r="D154" s="116">
        <v>150</v>
      </c>
      <c r="E154" s="212">
        <v>10578</v>
      </c>
      <c r="F154" s="213">
        <f>ROUND((D154*E154),0)</f>
        <v>1586700</v>
      </c>
    </row>
    <row r="155" spans="1:6" x14ac:dyDescent="0.2">
      <c r="A155" s="116">
        <v>3.2</v>
      </c>
      <c r="B155" s="121" t="s">
        <v>142</v>
      </c>
      <c r="C155" s="116" t="s">
        <v>14</v>
      </c>
      <c r="D155" s="116">
        <v>1</v>
      </c>
      <c r="E155" s="212">
        <v>61000</v>
      </c>
      <c r="F155" s="213">
        <f>ROUND((D155*E155),0)</f>
        <v>61000</v>
      </c>
    </row>
    <row r="156" spans="1:6" x14ac:dyDescent="0.2">
      <c r="A156" s="209">
        <v>4</v>
      </c>
      <c r="B156" s="210" t="s">
        <v>512</v>
      </c>
      <c r="C156" s="116"/>
      <c r="D156" s="116"/>
      <c r="E156" s="212"/>
      <c r="F156" s="211">
        <f>SUM(F157:F162)</f>
        <v>1897747</v>
      </c>
    </row>
    <row r="157" spans="1:6" ht="51" x14ac:dyDescent="0.2">
      <c r="A157" s="116">
        <v>4.0999999999999996</v>
      </c>
      <c r="B157" s="121" t="s">
        <v>727</v>
      </c>
      <c r="C157" s="116" t="s">
        <v>14</v>
      </c>
      <c r="D157" s="116">
        <v>1</v>
      </c>
      <c r="E157" s="212">
        <v>120000</v>
      </c>
      <c r="F157" s="213">
        <f t="shared" ref="F157:F162" si="5">ROUND((D157*E157),0)</f>
        <v>120000</v>
      </c>
    </row>
    <row r="158" spans="1:6" ht="25.5" x14ac:dyDescent="0.2">
      <c r="A158" s="116">
        <v>4.2</v>
      </c>
      <c r="B158" s="121" t="s">
        <v>515</v>
      </c>
      <c r="C158" s="116" t="s">
        <v>14</v>
      </c>
      <c r="D158" s="116">
        <v>1</v>
      </c>
      <c r="E158" s="212">
        <v>95248</v>
      </c>
      <c r="F158" s="213">
        <f t="shared" si="5"/>
        <v>95248</v>
      </c>
    </row>
    <row r="159" spans="1:6" ht="51" x14ac:dyDescent="0.2">
      <c r="A159" s="116">
        <v>4.3</v>
      </c>
      <c r="B159" s="121" t="s">
        <v>519</v>
      </c>
      <c r="C159" s="116" t="s">
        <v>14</v>
      </c>
      <c r="D159" s="116">
        <v>1</v>
      </c>
      <c r="E159" s="212">
        <v>550000</v>
      </c>
      <c r="F159" s="213">
        <f t="shared" si="5"/>
        <v>550000</v>
      </c>
    </row>
    <row r="160" spans="1:6" ht="51" x14ac:dyDescent="0.2">
      <c r="A160" s="116">
        <v>4.4000000000000004</v>
      </c>
      <c r="B160" s="121" t="s">
        <v>520</v>
      </c>
      <c r="C160" s="116" t="s">
        <v>14</v>
      </c>
      <c r="D160" s="116">
        <v>1</v>
      </c>
      <c r="E160" s="212">
        <v>531509</v>
      </c>
      <c r="F160" s="213">
        <f t="shared" si="5"/>
        <v>531509</v>
      </c>
    </row>
    <row r="161" spans="1:6" ht="38.25" x14ac:dyDescent="0.2">
      <c r="A161" s="116">
        <v>4.5</v>
      </c>
      <c r="B161" s="121" t="s">
        <v>522</v>
      </c>
      <c r="C161" s="116" t="s">
        <v>130</v>
      </c>
      <c r="D161" s="116">
        <v>120</v>
      </c>
      <c r="E161" s="212">
        <v>4170</v>
      </c>
      <c r="F161" s="213">
        <f t="shared" si="5"/>
        <v>500400</v>
      </c>
    </row>
    <row r="162" spans="1:6" ht="25.5" x14ac:dyDescent="0.2">
      <c r="A162" s="116">
        <v>4.5999999999999996</v>
      </c>
      <c r="B162" s="121" t="s">
        <v>523</v>
      </c>
      <c r="C162" s="35" t="s">
        <v>728</v>
      </c>
      <c r="D162" s="35">
        <v>0.25</v>
      </c>
      <c r="E162" s="212">
        <v>402361</v>
      </c>
      <c r="F162" s="213">
        <f t="shared" si="5"/>
        <v>100590</v>
      </c>
    </row>
    <row r="163" spans="1:6" x14ac:dyDescent="0.2">
      <c r="A163" s="128">
        <v>5</v>
      </c>
      <c r="B163" s="215" t="s">
        <v>98</v>
      </c>
      <c r="C163" s="116"/>
      <c r="D163" s="116"/>
      <c r="E163" s="212"/>
      <c r="F163" s="211">
        <f>+F164</f>
        <v>1503259</v>
      </c>
    </row>
    <row r="164" spans="1:6" ht="25.5" x14ac:dyDescent="0.2">
      <c r="A164" s="116">
        <v>5.0999999999999996</v>
      </c>
      <c r="B164" s="121" t="s">
        <v>137</v>
      </c>
      <c r="C164" s="116" t="s">
        <v>29</v>
      </c>
      <c r="D164" s="116">
        <v>1</v>
      </c>
      <c r="E164" s="212">
        <v>1503259</v>
      </c>
      <c r="F164" s="213">
        <f>ROUND((D164*E164),0)</f>
        <v>1503259</v>
      </c>
    </row>
    <row r="165" spans="1:6" x14ac:dyDescent="0.2">
      <c r="A165" s="36"/>
      <c r="B165" s="351" t="s">
        <v>31</v>
      </c>
      <c r="C165" s="38"/>
      <c r="D165" s="39"/>
      <c r="E165" s="40"/>
      <c r="F165" s="44">
        <f>F163+F156+F153+F143</f>
        <v>7630447</v>
      </c>
    </row>
    <row r="166" spans="1:6" x14ac:dyDescent="0.2">
      <c r="A166" s="42"/>
      <c r="B166" s="42"/>
      <c r="C166" s="43"/>
      <c r="D166" s="216" t="s">
        <v>205</v>
      </c>
      <c r="E166" s="217">
        <v>0.26</v>
      </c>
      <c r="F166" s="218">
        <f>ROUND(F165*E166,0)</f>
        <v>1983916</v>
      </c>
    </row>
    <row r="167" spans="1:6" x14ac:dyDescent="0.2">
      <c r="A167" s="42"/>
      <c r="B167" s="42"/>
      <c r="C167" s="43"/>
      <c r="D167" s="219" t="s">
        <v>481</v>
      </c>
      <c r="E167" s="220">
        <v>0.03</v>
      </c>
      <c r="F167" s="218">
        <f>ROUND(F165*E167,0)</f>
        <v>228913</v>
      </c>
    </row>
    <row r="168" spans="1:6" x14ac:dyDescent="0.2">
      <c r="A168" s="42"/>
      <c r="B168" s="42"/>
      <c r="C168" s="43"/>
      <c r="D168" s="219" t="s">
        <v>482</v>
      </c>
      <c r="E168" s="220">
        <v>0.05</v>
      </c>
      <c r="F168" s="218">
        <f>ROUND(F165*E168,0)</f>
        <v>381522</v>
      </c>
    </row>
    <row r="169" spans="1:6" x14ac:dyDescent="0.2">
      <c r="A169" s="42"/>
      <c r="B169" s="42"/>
      <c r="C169" s="43"/>
      <c r="D169" s="221" t="s">
        <v>483</v>
      </c>
      <c r="E169" s="222">
        <v>0.19</v>
      </c>
      <c r="F169" s="223">
        <f>ROUND((F168*E169),0)</f>
        <v>72489</v>
      </c>
    </row>
    <row r="170" spans="1:6" x14ac:dyDescent="0.2">
      <c r="A170" s="36"/>
      <c r="B170" s="351" t="s">
        <v>331</v>
      </c>
      <c r="C170" s="224"/>
      <c r="D170" s="225"/>
      <c r="E170" s="226"/>
      <c r="F170" s="218">
        <f>ROUND((SUM(F165:F169)),0)</f>
        <v>10297287</v>
      </c>
    </row>
    <row r="172" spans="1:6" x14ac:dyDescent="0.2">
      <c r="A172" s="636" t="s">
        <v>726</v>
      </c>
      <c r="B172" s="636"/>
      <c r="C172" s="636"/>
      <c r="D172" s="636"/>
      <c r="E172" s="636"/>
      <c r="F172" s="636"/>
    </row>
    <row r="173" spans="1:6" x14ac:dyDescent="0.2">
      <c r="A173" s="204"/>
      <c r="B173" s="205"/>
      <c r="C173" s="205"/>
      <c r="D173" s="205"/>
      <c r="E173" s="205"/>
      <c r="F173" s="205"/>
    </row>
    <row r="174" spans="1:6" x14ac:dyDescent="0.2">
      <c r="A174" s="636" t="s">
        <v>503</v>
      </c>
      <c r="B174" s="636"/>
      <c r="C174" s="636"/>
      <c r="D174" s="636"/>
      <c r="E174" s="636"/>
      <c r="F174" s="636"/>
    </row>
    <row r="175" spans="1:6" x14ac:dyDescent="0.2">
      <c r="A175" s="205"/>
      <c r="B175" s="205"/>
      <c r="C175" s="205"/>
      <c r="D175" s="205"/>
      <c r="E175" s="205"/>
      <c r="F175" s="205"/>
    </row>
    <row r="176" spans="1:6" ht="25.5" x14ac:dyDescent="0.2">
      <c r="A176" s="206" t="s">
        <v>330</v>
      </c>
      <c r="B176" s="207"/>
      <c r="C176" s="207"/>
      <c r="D176" s="207"/>
      <c r="E176" s="207"/>
      <c r="F176" s="208"/>
    </row>
    <row r="177" spans="1:6" x14ac:dyDescent="0.2">
      <c r="A177" s="637" t="s">
        <v>15</v>
      </c>
      <c r="B177" s="637" t="s">
        <v>16</v>
      </c>
      <c r="C177" s="638" t="s">
        <v>160</v>
      </c>
      <c r="D177" s="627" t="s">
        <v>35</v>
      </c>
      <c r="E177" s="634" t="s">
        <v>504</v>
      </c>
      <c r="F177" s="634" t="s">
        <v>84</v>
      </c>
    </row>
    <row r="178" spans="1:6" x14ac:dyDescent="0.2">
      <c r="A178" s="637"/>
      <c r="B178" s="637"/>
      <c r="C178" s="638"/>
      <c r="D178" s="627"/>
      <c r="E178" s="635"/>
      <c r="F178" s="635"/>
    </row>
    <row r="179" spans="1:6" x14ac:dyDescent="0.2">
      <c r="A179" s="209">
        <v>1</v>
      </c>
      <c r="B179" s="210" t="s">
        <v>38</v>
      </c>
      <c r="C179" s="210"/>
      <c r="D179" s="210"/>
      <c r="E179" s="210"/>
      <c r="F179" s="211">
        <f>SUM(F180:F183)</f>
        <v>5067119</v>
      </c>
    </row>
    <row r="180" spans="1:6" x14ac:dyDescent="0.2">
      <c r="A180" s="116">
        <v>1.1000000000000001</v>
      </c>
      <c r="B180" s="121" t="s">
        <v>485</v>
      </c>
      <c r="C180" s="116" t="s">
        <v>27</v>
      </c>
      <c r="D180" s="116">
        <v>1148.4000000000001</v>
      </c>
      <c r="E180" s="212">
        <v>837.39</v>
      </c>
      <c r="F180" s="213">
        <f>ROUND((D180*E180),0)</f>
        <v>961659</v>
      </c>
    </row>
    <row r="181" spans="1:6" ht="25.5" x14ac:dyDescent="0.2">
      <c r="A181" s="116">
        <v>1.2</v>
      </c>
      <c r="B181" s="121" t="s">
        <v>505</v>
      </c>
      <c r="C181" s="116" t="s">
        <v>22</v>
      </c>
      <c r="D181" s="116">
        <v>670.48</v>
      </c>
      <c r="E181" s="212">
        <v>1187</v>
      </c>
      <c r="F181" s="213">
        <f t="shared" ref="F181:F182" si="6">ROUND((D181*E181),0)</f>
        <v>795860</v>
      </c>
    </row>
    <row r="182" spans="1:6" ht="38.25" x14ac:dyDescent="0.2">
      <c r="A182" s="116">
        <v>1.3</v>
      </c>
      <c r="B182" s="121" t="s">
        <v>454</v>
      </c>
      <c r="C182" s="116" t="s">
        <v>14</v>
      </c>
      <c r="D182" s="116">
        <v>1</v>
      </c>
      <c r="E182" s="212">
        <v>923543.32</v>
      </c>
      <c r="F182" s="213">
        <f t="shared" si="6"/>
        <v>923543</v>
      </c>
    </row>
    <row r="183" spans="1:6" ht="25.5" x14ac:dyDescent="0.2">
      <c r="A183" s="116">
        <v>1.4</v>
      </c>
      <c r="B183" s="121" t="s">
        <v>486</v>
      </c>
      <c r="C183" s="116" t="s">
        <v>27</v>
      </c>
      <c r="D183" s="116">
        <v>20</v>
      </c>
      <c r="E183" s="212">
        <v>119302.84</v>
      </c>
      <c r="F183" s="213">
        <f>ROUND((D183*E183),0)</f>
        <v>2386057</v>
      </c>
    </row>
    <row r="184" spans="1:6" x14ac:dyDescent="0.2">
      <c r="A184" s="209">
        <v>2</v>
      </c>
      <c r="B184" s="210" t="s">
        <v>456</v>
      </c>
      <c r="C184" s="210"/>
      <c r="D184" s="210"/>
      <c r="E184" s="210"/>
      <c r="F184" s="211">
        <f>SUM(F185:F192)</f>
        <v>11227644</v>
      </c>
    </row>
    <row r="185" spans="1:6" ht="25.5" x14ac:dyDescent="0.2">
      <c r="A185" s="116">
        <v>2.1</v>
      </c>
      <c r="B185" s="121" t="s">
        <v>457</v>
      </c>
      <c r="C185" s="35" t="s">
        <v>728</v>
      </c>
      <c r="D185" s="35">
        <v>169.12</v>
      </c>
      <c r="E185" s="212">
        <v>19645</v>
      </c>
      <c r="F185" s="213">
        <f>ROUND((D185*E185),0)</f>
        <v>3322362</v>
      </c>
    </row>
    <row r="186" spans="1:6" ht="25.5" x14ac:dyDescent="0.2">
      <c r="A186" s="116">
        <v>2.2000000000000002</v>
      </c>
      <c r="B186" s="121" t="s">
        <v>459</v>
      </c>
      <c r="C186" s="35" t="s">
        <v>729</v>
      </c>
      <c r="D186" s="35">
        <v>43.1</v>
      </c>
      <c r="E186" s="212">
        <v>26699</v>
      </c>
      <c r="F186" s="213">
        <f t="shared" ref="F186:F211" si="7">ROUND((D186*E186),0)</f>
        <v>1150727</v>
      </c>
    </row>
    <row r="187" spans="1:6" ht="25.5" x14ac:dyDescent="0.2">
      <c r="A187" s="116">
        <v>2.2999999999999998</v>
      </c>
      <c r="B187" s="121" t="s">
        <v>506</v>
      </c>
      <c r="C187" s="35" t="s">
        <v>729</v>
      </c>
      <c r="D187" s="35">
        <v>3.29</v>
      </c>
      <c r="E187" s="212">
        <v>117330</v>
      </c>
      <c r="F187" s="213">
        <f t="shared" si="7"/>
        <v>386016</v>
      </c>
    </row>
    <row r="188" spans="1:6" ht="25.5" x14ac:dyDescent="0.2">
      <c r="A188" s="116">
        <v>2.4</v>
      </c>
      <c r="B188" s="121" t="s">
        <v>463</v>
      </c>
      <c r="C188" s="35" t="s">
        <v>728</v>
      </c>
      <c r="D188" s="35">
        <v>13.8</v>
      </c>
      <c r="E188" s="212">
        <v>86034</v>
      </c>
      <c r="F188" s="213">
        <f t="shared" si="7"/>
        <v>1187269</v>
      </c>
    </row>
    <row r="189" spans="1:6" ht="38.25" x14ac:dyDescent="0.2">
      <c r="A189" s="116">
        <v>2.5</v>
      </c>
      <c r="B189" s="121" t="s">
        <v>507</v>
      </c>
      <c r="C189" s="35" t="s">
        <v>728</v>
      </c>
      <c r="D189" s="35">
        <v>28.89</v>
      </c>
      <c r="E189" s="212">
        <v>34948</v>
      </c>
      <c r="F189" s="213">
        <f t="shared" si="7"/>
        <v>1009648</v>
      </c>
    </row>
    <row r="190" spans="1:6" ht="25.5" x14ac:dyDescent="0.2">
      <c r="A190" s="116">
        <v>2.6</v>
      </c>
      <c r="B190" s="121" t="s">
        <v>508</v>
      </c>
      <c r="C190" s="35" t="s">
        <v>728</v>
      </c>
      <c r="D190" s="35">
        <v>159.77000000000001</v>
      </c>
      <c r="E190" s="212">
        <v>18251</v>
      </c>
      <c r="F190" s="213">
        <f t="shared" si="7"/>
        <v>2915962</v>
      </c>
    </row>
    <row r="191" spans="1:6" ht="25.5" x14ac:dyDescent="0.2">
      <c r="A191" s="116">
        <v>2.7</v>
      </c>
      <c r="B191" s="121" t="s">
        <v>488</v>
      </c>
      <c r="C191" s="35" t="s">
        <v>728</v>
      </c>
      <c r="D191" s="35">
        <v>6.18</v>
      </c>
      <c r="E191" s="212">
        <v>92881</v>
      </c>
      <c r="F191" s="213">
        <f t="shared" si="7"/>
        <v>574005</v>
      </c>
    </row>
    <row r="192" spans="1:6" ht="25.5" x14ac:dyDescent="0.2">
      <c r="A192" s="116">
        <v>2.8</v>
      </c>
      <c r="B192" s="121" t="s">
        <v>468</v>
      </c>
      <c r="C192" s="35" t="s">
        <v>728</v>
      </c>
      <c r="D192" s="35">
        <v>55.75</v>
      </c>
      <c r="E192" s="212">
        <v>12227</v>
      </c>
      <c r="F192" s="213">
        <f t="shared" si="7"/>
        <v>681655</v>
      </c>
    </row>
    <row r="193" spans="1:6" x14ac:dyDescent="0.2">
      <c r="A193" s="209">
        <v>3</v>
      </c>
      <c r="B193" s="210" t="s">
        <v>509</v>
      </c>
      <c r="C193" s="210"/>
      <c r="D193" s="210"/>
      <c r="E193" s="210"/>
      <c r="F193" s="211">
        <f>SUM(F194:F196)</f>
        <v>7274385</v>
      </c>
    </row>
    <row r="194" spans="1:6" ht="63.75" x14ac:dyDescent="0.2">
      <c r="A194" s="116">
        <v>3.1</v>
      </c>
      <c r="B194" s="121" t="s">
        <v>510</v>
      </c>
      <c r="C194" s="116" t="s">
        <v>22</v>
      </c>
      <c r="D194" s="116">
        <v>6</v>
      </c>
      <c r="E194" s="212">
        <v>10008</v>
      </c>
      <c r="F194" s="213">
        <f t="shared" si="7"/>
        <v>60048</v>
      </c>
    </row>
    <row r="195" spans="1:6" ht="63.75" x14ac:dyDescent="0.2">
      <c r="A195" s="227">
        <v>3.2</v>
      </c>
      <c r="B195" s="121" t="s">
        <v>511</v>
      </c>
      <c r="C195" s="116" t="s">
        <v>22</v>
      </c>
      <c r="D195" s="116">
        <v>670.48</v>
      </c>
      <c r="E195" s="212">
        <v>10578</v>
      </c>
      <c r="F195" s="213">
        <f t="shared" si="7"/>
        <v>7092337</v>
      </c>
    </row>
    <row r="196" spans="1:6" x14ac:dyDescent="0.2">
      <c r="A196" s="116">
        <v>3.3</v>
      </c>
      <c r="B196" s="121" t="s">
        <v>142</v>
      </c>
      <c r="C196" s="116" t="s">
        <v>14</v>
      </c>
      <c r="D196" s="116">
        <v>2</v>
      </c>
      <c r="E196" s="212">
        <v>61000</v>
      </c>
      <c r="F196" s="213">
        <f t="shared" si="7"/>
        <v>122000</v>
      </c>
    </row>
    <row r="197" spans="1:6" x14ac:dyDescent="0.2">
      <c r="A197" s="209">
        <v>4</v>
      </c>
      <c r="B197" s="210" t="s">
        <v>512</v>
      </c>
      <c r="C197" s="116"/>
      <c r="D197" s="116"/>
      <c r="E197" s="212"/>
      <c r="F197" s="211">
        <f>SUM(F198:F211)</f>
        <v>11862776</v>
      </c>
    </row>
    <row r="198" spans="1:6" ht="25.5" x14ac:dyDescent="0.2">
      <c r="A198" s="116">
        <v>4.0999999999999996</v>
      </c>
      <c r="B198" s="121" t="s">
        <v>513</v>
      </c>
      <c r="C198" s="116" t="s">
        <v>14</v>
      </c>
      <c r="D198" s="116">
        <v>1</v>
      </c>
      <c r="E198" s="212">
        <v>64825</v>
      </c>
      <c r="F198" s="213">
        <f t="shared" si="7"/>
        <v>64825</v>
      </c>
    </row>
    <row r="199" spans="1:6" ht="25.5" x14ac:dyDescent="0.2">
      <c r="A199" s="116">
        <v>4.2</v>
      </c>
      <c r="B199" s="121" t="s">
        <v>514</v>
      </c>
      <c r="C199" s="116" t="s">
        <v>14</v>
      </c>
      <c r="D199" s="116">
        <v>1</v>
      </c>
      <c r="E199" s="212">
        <v>79747</v>
      </c>
      <c r="F199" s="213">
        <f t="shared" si="7"/>
        <v>79747</v>
      </c>
    </row>
    <row r="200" spans="1:6" ht="38.25" x14ac:dyDescent="0.2">
      <c r="A200" s="116">
        <v>4.3</v>
      </c>
      <c r="B200" s="121" t="s">
        <v>730</v>
      </c>
      <c r="C200" s="116" t="s">
        <v>14</v>
      </c>
      <c r="D200" s="116">
        <v>1</v>
      </c>
      <c r="E200" s="212">
        <v>95248</v>
      </c>
      <c r="F200" s="213">
        <f t="shared" si="7"/>
        <v>95248</v>
      </c>
    </row>
    <row r="201" spans="1:6" ht="25.5" x14ac:dyDescent="0.2">
      <c r="A201" s="116">
        <v>4.4000000000000004</v>
      </c>
      <c r="B201" s="121" t="s">
        <v>516</v>
      </c>
      <c r="C201" s="116" t="s">
        <v>14</v>
      </c>
      <c r="D201" s="116">
        <v>1</v>
      </c>
      <c r="E201" s="212">
        <v>71308</v>
      </c>
      <c r="F201" s="213">
        <f t="shared" si="7"/>
        <v>71308</v>
      </c>
    </row>
    <row r="202" spans="1:6" ht="38.25" x14ac:dyDescent="0.2">
      <c r="A202" s="116">
        <v>4.5</v>
      </c>
      <c r="B202" s="121" t="s">
        <v>517</v>
      </c>
      <c r="C202" s="116" t="s">
        <v>29</v>
      </c>
      <c r="D202" s="116">
        <v>1</v>
      </c>
      <c r="E202" s="212">
        <v>298928</v>
      </c>
      <c r="F202" s="213">
        <f t="shared" si="7"/>
        <v>298928</v>
      </c>
    </row>
    <row r="203" spans="1:6" ht="63.75" x14ac:dyDescent="0.2">
      <c r="A203" s="116">
        <v>4.5999999999999996</v>
      </c>
      <c r="B203" s="121" t="s">
        <v>518</v>
      </c>
      <c r="C203" s="116" t="s">
        <v>14</v>
      </c>
      <c r="D203" s="116">
        <v>1</v>
      </c>
      <c r="E203" s="212">
        <v>419930</v>
      </c>
      <c r="F203" s="213">
        <f t="shared" si="7"/>
        <v>419930</v>
      </c>
    </row>
    <row r="204" spans="1:6" ht="51" x14ac:dyDescent="0.2">
      <c r="A204" s="116">
        <v>4.7</v>
      </c>
      <c r="B204" s="121" t="s">
        <v>519</v>
      </c>
      <c r="C204" s="116" t="s">
        <v>14</v>
      </c>
      <c r="D204" s="116">
        <v>1</v>
      </c>
      <c r="E204" s="212">
        <v>550000</v>
      </c>
      <c r="F204" s="213">
        <f t="shared" si="7"/>
        <v>550000</v>
      </c>
    </row>
    <row r="205" spans="1:6" ht="51" x14ac:dyDescent="0.2">
      <c r="A205" s="116">
        <v>4.8</v>
      </c>
      <c r="B205" s="121" t="s">
        <v>783</v>
      </c>
      <c r="C205" s="116" t="s">
        <v>14</v>
      </c>
      <c r="D205" s="116">
        <v>1</v>
      </c>
      <c r="E205" s="212">
        <v>531509</v>
      </c>
      <c r="F205" s="213">
        <f t="shared" si="7"/>
        <v>531509</v>
      </c>
    </row>
    <row r="206" spans="1:6" ht="76.5" customHeight="1" x14ac:dyDescent="0.2">
      <c r="A206" s="116">
        <v>4.9000000000000004</v>
      </c>
      <c r="B206" s="121" t="s">
        <v>784</v>
      </c>
      <c r="C206" s="116" t="s">
        <v>14</v>
      </c>
      <c r="D206" s="116">
        <v>1</v>
      </c>
      <c r="E206" s="212">
        <v>990000</v>
      </c>
      <c r="F206" s="213">
        <f t="shared" si="7"/>
        <v>990000</v>
      </c>
    </row>
    <row r="207" spans="1:6" ht="38.25" x14ac:dyDescent="0.2">
      <c r="A207" s="214">
        <v>4.0999999999999996</v>
      </c>
      <c r="B207" s="121" t="s">
        <v>731</v>
      </c>
      <c r="C207" s="116" t="s">
        <v>12</v>
      </c>
      <c r="D207" s="116">
        <v>1</v>
      </c>
      <c r="E207" s="212">
        <v>850000</v>
      </c>
      <c r="F207" s="213">
        <f t="shared" si="7"/>
        <v>850000</v>
      </c>
    </row>
    <row r="208" spans="1:6" ht="38.25" x14ac:dyDescent="0.2">
      <c r="A208" s="116">
        <v>4.1100000000000003</v>
      </c>
      <c r="B208" s="121" t="s">
        <v>521</v>
      </c>
      <c r="C208" s="116" t="s">
        <v>14</v>
      </c>
      <c r="D208" s="116">
        <v>2</v>
      </c>
      <c r="E208" s="212">
        <v>950000</v>
      </c>
      <c r="F208" s="213">
        <f t="shared" si="7"/>
        <v>1900000</v>
      </c>
    </row>
    <row r="209" spans="1:6" ht="38.25" x14ac:dyDescent="0.2">
      <c r="A209" s="116">
        <v>4.12</v>
      </c>
      <c r="B209" s="121" t="s">
        <v>522</v>
      </c>
      <c r="C209" s="116" t="s">
        <v>130</v>
      </c>
      <c r="D209" s="116">
        <v>530</v>
      </c>
      <c r="E209" s="212">
        <v>4170</v>
      </c>
      <c r="F209" s="213">
        <f t="shared" si="7"/>
        <v>2210100</v>
      </c>
    </row>
    <row r="210" spans="1:6" ht="25.5" x14ac:dyDescent="0.2">
      <c r="A210" s="116">
        <v>4.13</v>
      </c>
      <c r="B210" s="121" t="s">
        <v>732</v>
      </c>
      <c r="C210" s="116" t="s">
        <v>12</v>
      </c>
      <c r="D210" s="116">
        <v>4</v>
      </c>
      <c r="E210" s="212">
        <v>900000</v>
      </c>
      <c r="F210" s="213">
        <f t="shared" si="7"/>
        <v>3600000</v>
      </c>
    </row>
    <row r="211" spans="1:6" ht="25.5" x14ac:dyDescent="0.2">
      <c r="A211" s="116">
        <v>4.1399999999999997</v>
      </c>
      <c r="B211" s="121" t="s">
        <v>523</v>
      </c>
      <c r="C211" s="35" t="s">
        <v>728</v>
      </c>
      <c r="D211" s="35">
        <v>0.5</v>
      </c>
      <c r="E211" s="212">
        <v>402361</v>
      </c>
      <c r="F211" s="213">
        <f t="shared" si="7"/>
        <v>201181</v>
      </c>
    </row>
    <row r="212" spans="1:6" x14ac:dyDescent="0.2">
      <c r="A212" s="36"/>
      <c r="B212" s="37" t="s">
        <v>31</v>
      </c>
      <c r="C212" s="38"/>
      <c r="D212" s="39"/>
      <c r="E212" s="40"/>
      <c r="F212" s="41">
        <f>ROUND((F179+F184+F193+F197),0)</f>
        <v>35431924</v>
      </c>
    </row>
    <row r="213" spans="1:6" x14ac:dyDescent="0.2">
      <c r="A213" s="42"/>
      <c r="B213" s="42"/>
      <c r="C213" s="43"/>
      <c r="D213" s="216" t="s">
        <v>205</v>
      </c>
      <c r="E213" s="217">
        <v>0.26</v>
      </c>
      <c r="F213" s="228">
        <f>ROUND(F212*E213,0)</f>
        <v>9212300</v>
      </c>
    </row>
    <row r="214" spans="1:6" x14ac:dyDescent="0.2">
      <c r="A214" s="42"/>
      <c r="B214" s="42"/>
      <c r="C214" s="43"/>
      <c r="D214" s="219" t="s">
        <v>481</v>
      </c>
      <c r="E214" s="220">
        <v>0.03</v>
      </c>
      <c r="F214" s="228">
        <f>ROUND(F212*E214,0)</f>
        <v>1062958</v>
      </c>
    </row>
    <row r="215" spans="1:6" x14ac:dyDescent="0.2">
      <c r="A215" s="42"/>
      <c r="B215" s="42"/>
      <c r="C215" s="43"/>
      <c r="D215" s="219" t="s">
        <v>482</v>
      </c>
      <c r="E215" s="220">
        <v>0.05</v>
      </c>
      <c r="F215" s="228">
        <f>ROUND(F212*E215,0)</f>
        <v>1771596</v>
      </c>
    </row>
    <row r="216" spans="1:6" x14ac:dyDescent="0.2">
      <c r="A216" s="42"/>
      <c r="B216" s="42"/>
      <c r="C216" s="43"/>
      <c r="D216" s="221" t="s">
        <v>483</v>
      </c>
      <c r="E216" s="222">
        <v>0.19</v>
      </c>
      <c r="F216" s="229">
        <f>ROUND((F215*E216),0)</f>
        <v>336603</v>
      </c>
    </row>
    <row r="217" spans="1:6" x14ac:dyDescent="0.2">
      <c r="A217" s="36"/>
      <c r="B217" s="37" t="s">
        <v>331</v>
      </c>
      <c r="C217" s="224"/>
      <c r="D217" s="225"/>
      <c r="E217" s="226"/>
      <c r="F217" s="228">
        <f>ROUND((SUM(F212:F216)),0)</f>
        <v>47815381</v>
      </c>
    </row>
    <row r="220" spans="1:6" x14ac:dyDescent="0.2">
      <c r="A220" s="632" t="s">
        <v>655</v>
      </c>
      <c r="B220" s="632"/>
      <c r="C220" s="632"/>
      <c r="D220" s="632"/>
      <c r="E220" s="632"/>
      <c r="F220" s="632"/>
    </row>
    <row r="221" spans="1:6" x14ac:dyDescent="0.2">
      <c r="A221" s="627" t="s">
        <v>15</v>
      </c>
      <c r="B221" s="627" t="s">
        <v>16</v>
      </c>
      <c r="C221" s="627" t="s">
        <v>33</v>
      </c>
      <c r="D221" s="627" t="s">
        <v>34</v>
      </c>
      <c r="E221" s="627"/>
      <c r="F221" s="627"/>
    </row>
    <row r="222" spans="1:6" x14ac:dyDescent="0.2">
      <c r="A222" s="627"/>
      <c r="B222" s="627"/>
      <c r="C222" s="627"/>
      <c r="D222" s="113" t="s">
        <v>35</v>
      </c>
      <c r="E222" s="113" t="s">
        <v>36</v>
      </c>
      <c r="F222" s="113" t="s">
        <v>37</v>
      </c>
    </row>
    <row r="223" spans="1:6" x14ac:dyDescent="0.2">
      <c r="A223" s="128">
        <v>1</v>
      </c>
      <c r="B223" s="114" t="s">
        <v>38</v>
      </c>
      <c r="C223" s="627"/>
      <c r="D223" s="627"/>
      <c r="E223" s="627"/>
      <c r="F223" s="115"/>
    </row>
    <row r="224" spans="1:6" x14ac:dyDescent="0.2">
      <c r="A224" s="116">
        <v>2</v>
      </c>
      <c r="B224" s="123" t="s">
        <v>656</v>
      </c>
      <c r="C224" s="117" t="s">
        <v>22</v>
      </c>
      <c r="D224" s="118">
        <v>162</v>
      </c>
      <c r="E224" s="119">
        <v>4828</v>
      </c>
      <c r="F224" s="230">
        <f>ROUND(D224*E224,0)</f>
        <v>782136</v>
      </c>
    </row>
    <row r="225" spans="1:6" ht="25.5" x14ac:dyDescent="0.2">
      <c r="A225" s="128">
        <v>3</v>
      </c>
      <c r="B225" s="127" t="s">
        <v>18</v>
      </c>
      <c r="C225" s="117" t="s">
        <v>22</v>
      </c>
      <c r="D225" s="118">
        <v>332</v>
      </c>
      <c r="E225" s="119">
        <v>12600</v>
      </c>
      <c r="F225" s="230">
        <f t="shared" ref="F225:F253" si="8">ROUND(D225*E225,0)</f>
        <v>4183200</v>
      </c>
    </row>
    <row r="226" spans="1:6" x14ac:dyDescent="0.2">
      <c r="A226" s="116">
        <v>4</v>
      </c>
      <c r="B226" s="123" t="s">
        <v>19</v>
      </c>
      <c r="C226" s="117" t="s">
        <v>45</v>
      </c>
      <c r="D226" s="118">
        <v>2</v>
      </c>
      <c r="E226" s="119">
        <v>143842</v>
      </c>
      <c r="F226" s="230">
        <f t="shared" si="8"/>
        <v>287684</v>
      </c>
    </row>
    <row r="227" spans="1:6" x14ac:dyDescent="0.2">
      <c r="A227" s="128">
        <v>5</v>
      </c>
      <c r="B227" s="123" t="s">
        <v>20</v>
      </c>
      <c r="C227" s="117" t="s">
        <v>45</v>
      </c>
      <c r="D227" s="118">
        <v>1</v>
      </c>
      <c r="E227" s="119">
        <v>769522</v>
      </c>
      <c r="F227" s="230">
        <f t="shared" si="8"/>
        <v>769522</v>
      </c>
    </row>
    <row r="228" spans="1:6" x14ac:dyDescent="0.2">
      <c r="A228" s="116">
        <v>6</v>
      </c>
      <c r="B228" s="114" t="s">
        <v>48</v>
      </c>
      <c r="C228" s="115"/>
      <c r="D228" s="115"/>
      <c r="E228" s="119"/>
      <c r="F228" s="230" t="s">
        <v>0</v>
      </c>
    </row>
    <row r="229" spans="1:6" x14ac:dyDescent="0.2">
      <c r="A229" s="128">
        <v>7</v>
      </c>
      <c r="B229" s="147" t="s">
        <v>111</v>
      </c>
      <c r="C229" s="117" t="s">
        <v>22</v>
      </c>
      <c r="D229" s="118">
        <v>10</v>
      </c>
      <c r="E229" s="119">
        <v>7065</v>
      </c>
      <c r="F229" s="230">
        <f t="shared" si="8"/>
        <v>70650</v>
      </c>
    </row>
    <row r="230" spans="1:6" ht="38.25" x14ac:dyDescent="0.2">
      <c r="A230" s="116">
        <v>8</v>
      </c>
      <c r="B230" s="127" t="s">
        <v>192</v>
      </c>
      <c r="C230" s="117" t="s">
        <v>302</v>
      </c>
      <c r="D230" s="118">
        <v>2</v>
      </c>
      <c r="E230" s="119">
        <v>77141</v>
      </c>
      <c r="F230" s="230">
        <f t="shared" si="8"/>
        <v>154282</v>
      </c>
    </row>
    <row r="231" spans="1:6" x14ac:dyDescent="0.2">
      <c r="A231" s="128">
        <v>9</v>
      </c>
      <c r="B231" s="114" t="s">
        <v>51</v>
      </c>
      <c r="C231" s="115"/>
      <c r="D231" s="115"/>
      <c r="E231" s="119"/>
      <c r="F231" s="230" t="s">
        <v>0</v>
      </c>
    </row>
    <row r="232" spans="1:6" x14ac:dyDescent="0.2">
      <c r="A232" s="116">
        <v>10</v>
      </c>
      <c r="B232" s="123" t="s">
        <v>147</v>
      </c>
      <c r="C232" s="117" t="s">
        <v>302</v>
      </c>
      <c r="D232" s="118">
        <v>180</v>
      </c>
      <c r="E232" s="119">
        <v>24368</v>
      </c>
      <c r="F232" s="230">
        <f t="shared" si="8"/>
        <v>4386240</v>
      </c>
    </row>
    <row r="233" spans="1:6" x14ac:dyDescent="0.2">
      <c r="A233" s="128">
        <v>11</v>
      </c>
      <c r="B233" s="123" t="s">
        <v>139</v>
      </c>
      <c r="C233" s="117" t="s">
        <v>302</v>
      </c>
      <c r="D233" s="118">
        <v>34</v>
      </c>
      <c r="E233" s="119">
        <v>26967</v>
      </c>
      <c r="F233" s="230">
        <f t="shared" si="8"/>
        <v>916878</v>
      </c>
    </row>
    <row r="234" spans="1:6" x14ac:dyDescent="0.2">
      <c r="A234" s="116">
        <v>12</v>
      </c>
      <c r="B234" s="123" t="s">
        <v>197</v>
      </c>
      <c r="C234" s="117" t="s">
        <v>22</v>
      </c>
      <c r="D234" s="118">
        <v>20</v>
      </c>
      <c r="E234" s="119">
        <v>28823</v>
      </c>
      <c r="F234" s="230">
        <f t="shared" si="8"/>
        <v>576460</v>
      </c>
    </row>
    <row r="235" spans="1:6" ht="25.5" x14ac:dyDescent="0.2">
      <c r="A235" s="128">
        <v>13</v>
      </c>
      <c r="B235" s="127" t="s">
        <v>21</v>
      </c>
      <c r="C235" s="117" t="s">
        <v>302</v>
      </c>
      <c r="D235" s="118">
        <v>40</v>
      </c>
      <c r="E235" s="119">
        <v>30324</v>
      </c>
      <c r="F235" s="230">
        <f t="shared" si="8"/>
        <v>1212960</v>
      </c>
    </row>
    <row r="236" spans="1:6" x14ac:dyDescent="0.2">
      <c r="A236" s="116">
        <v>14</v>
      </c>
      <c r="B236" s="114" t="s">
        <v>148</v>
      </c>
      <c r="C236" s="115"/>
      <c r="D236" s="115"/>
      <c r="E236" s="119"/>
      <c r="F236" s="230" t="s">
        <v>0</v>
      </c>
    </row>
    <row r="237" spans="1:6" ht="25.5" x14ac:dyDescent="0.2">
      <c r="A237" s="128">
        <v>15</v>
      </c>
      <c r="B237" s="127" t="s">
        <v>173</v>
      </c>
      <c r="C237" s="117" t="s">
        <v>22</v>
      </c>
      <c r="D237" s="118">
        <v>162</v>
      </c>
      <c r="E237" s="119">
        <v>25690</v>
      </c>
      <c r="F237" s="230">
        <f t="shared" si="8"/>
        <v>4161780</v>
      </c>
    </row>
    <row r="238" spans="1:6" ht="38.25" x14ac:dyDescent="0.2">
      <c r="A238" s="116">
        <v>16</v>
      </c>
      <c r="B238" s="122" t="s">
        <v>149</v>
      </c>
      <c r="C238" s="117" t="s">
        <v>22</v>
      </c>
      <c r="D238" s="118">
        <v>4</v>
      </c>
      <c r="E238" s="119">
        <v>590196</v>
      </c>
      <c r="F238" s="230">
        <f t="shared" si="8"/>
        <v>2360784</v>
      </c>
    </row>
    <row r="239" spans="1:6" ht="38.25" x14ac:dyDescent="0.2">
      <c r="A239" s="128">
        <v>17</v>
      </c>
      <c r="B239" s="121" t="s">
        <v>657</v>
      </c>
      <c r="C239" s="117" t="s">
        <v>116</v>
      </c>
      <c r="D239" s="118">
        <v>4</v>
      </c>
      <c r="E239" s="119">
        <v>580000</v>
      </c>
      <c r="F239" s="230">
        <f t="shared" si="8"/>
        <v>2320000</v>
      </c>
    </row>
    <row r="240" spans="1:6" x14ac:dyDescent="0.2">
      <c r="A240" s="116">
        <v>18</v>
      </c>
      <c r="B240" s="123" t="s">
        <v>151</v>
      </c>
      <c r="C240" s="117" t="s">
        <v>116</v>
      </c>
      <c r="D240" s="118">
        <v>4</v>
      </c>
      <c r="E240" s="119">
        <v>500414</v>
      </c>
      <c r="F240" s="230">
        <f t="shared" si="8"/>
        <v>2001656</v>
      </c>
    </row>
    <row r="241" spans="1:6" ht="25.5" x14ac:dyDescent="0.2">
      <c r="A241" s="128">
        <v>19</v>
      </c>
      <c r="B241" s="127" t="s">
        <v>23</v>
      </c>
      <c r="C241" s="117" t="s">
        <v>22</v>
      </c>
      <c r="D241" s="118">
        <v>24</v>
      </c>
      <c r="E241" s="119">
        <v>12780</v>
      </c>
      <c r="F241" s="230">
        <f t="shared" si="8"/>
        <v>306720</v>
      </c>
    </row>
    <row r="242" spans="1:6" ht="25.5" x14ac:dyDescent="0.2">
      <c r="A242" s="116">
        <v>20</v>
      </c>
      <c r="B242" s="127" t="s">
        <v>24</v>
      </c>
      <c r="C242" s="117" t="s">
        <v>45</v>
      </c>
      <c r="D242" s="118">
        <v>10</v>
      </c>
      <c r="E242" s="119">
        <v>370202</v>
      </c>
      <c r="F242" s="230">
        <f t="shared" si="8"/>
        <v>3702020</v>
      </c>
    </row>
    <row r="243" spans="1:6" x14ac:dyDescent="0.2">
      <c r="A243" s="128">
        <v>21</v>
      </c>
      <c r="B243" s="123" t="s">
        <v>658</v>
      </c>
      <c r="C243" s="117" t="s">
        <v>45</v>
      </c>
      <c r="D243" s="118">
        <v>10</v>
      </c>
      <c r="E243" s="119">
        <v>40262</v>
      </c>
      <c r="F243" s="230">
        <f t="shared" si="8"/>
        <v>402620</v>
      </c>
    </row>
    <row r="244" spans="1:6" x14ac:dyDescent="0.2">
      <c r="A244" s="116">
        <v>22</v>
      </c>
      <c r="B244" s="123" t="s">
        <v>152</v>
      </c>
      <c r="C244" s="117" t="s">
        <v>45</v>
      </c>
      <c r="D244" s="118">
        <v>10</v>
      </c>
      <c r="E244" s="119">
        <v>83623</v>
      </c>
      <c r="F244" s="230">
        <f t="shared" si="8"/>
        <v>836230</v>
      </c>
    </row>
    <row r="245" spans="1:6" x14ac:dyDescent="0.2">
      <c r="A245" s="128">
        <v>23</v>
      </c>
      <c r="B245" s="114" t="s">
        <v>120</v>
      </c>
      <c r="C245" s="115"/>
      <c r="D245" s="115"/>
      <c r="E245" s="119"/>
      <c r="F245" s="230" t="s">
        <v>0</v>
      </c>
    </row>
    <row r="246" spans="1:6" x14ac:dyDescent="0.2">
      <c r="A246" s="116">
        <v>24</v>
      </c>
      <c r="B246" s="123" t="s">
        <v>25</v>
      </c>
      <c r="C246" s="117" t="s">
        <v>302</v>
      </c>
      <c r="D246" s="118">
        <v>18</v>
      </c>
      <c r="E246" s="119">
        <v>111720</v>
      </c>
      <c r="F246" s="230">
        <f t="shared" si="8"/>
        <v>2010960</v>
      </c>
    </row>
    <row r="247" spans="1:6" ht="25.5" x14ac:dyDescent="0.2">
      <c r="A247" s="128">
        <v>25</v>
      </c>
      <c r="B247" s="127" t="s">
        <v>121</v>
      </c>
      <c r="C247" s="117" t="s">
        <v>302</v>
      </c>
      <c r="D247" s="118">
        <v>185</v>
      </c>
      <c r="E247" s="119">
        <v>20492</v>
      </c>
      <c r="F247" s="230">
        <f t="shared" si="8"/>
        <v>3791020</v>
      </c>
    </row>
    <row r="248" spans="1:6" x14ac:dyDescent="0.2">
      <c r="A248" s="116">
        <v>26</v>
      </c>
      <c r="B248" s="114" t="s">
        <v>123</v>
      </c>
      <c r="C248" s="115"/>
      <c r="D248" s="115"/>
      <c r="E248" s="119"/>
      <c r="F248" s="230" t="s">
        <v>0</v>
      </c>
    </row>
    <row r="249" spans="1:6" ht="25.5" x14ac:dyDescent="0.2">
      <c r="A249" s="128">
        <v>27</v>
      </c>
      <c r="B249" s="127" t="s">
        <v>154</v>
      </c>
      <c r="C249" s="117" t="s">
        <v>302</v>
      </c>
      <c r="D249" s="118">
        <v>0.5</v>
      </c>
      <c r="E249" s="119">
        <v>560630</v>
      </c>
      <c r="F249" s="230">
        <f t="shared" si="8"/>
        <v>280315</v>
      </c>
    </row>
    <row r="250" spans="1:6" ht="25.5" x14ac:dyDescent="0.2">
      <c r="A250" s="116">
        <v>28</v>
      </c>
      <c r="B250" s="127" t="s">
        <v>195</v>
      </c>
      <c r="C250" s="117" t="s">
        <v>302</v>
      </c>
      <c r="D250" s="118">
        <v>4</v>
      </c>
      <c r="E250" s="119">
        <v>761360</v>
      </c>
      <c r="F250" s="230">
        <f t="shared" si="8"/>
        <v>3045440</v>
      </c>
    </row>
    <row r="251" spans="1:6" x14ac:dyDescent="0.2">
      <c r="A251" s="128">
        <v>29</v>
      </c>
      <c r="B251" s="114" t="s">
        <v>74</v>
      </c>
      <c r="C251" s="115"/>
      <c r="D251" s="115"/>
      <c r="E251" s="119"/>
      <c r="F251" s="230" t="s">
        <v>0</v>
      </c>
    </row>
    <row r="252" spans="1:6" ht="25.5" x14ac:dyDescent="0.2">
      <c r="A252" s="116">
        <v>30</v>
      </c>
      <c r="B252" s="127" t="s">
        <v>659</v>
      </c>
      <c r="C252" s="117" t="s">
        <v>27</v>
      </c>
      <c r="D252" s="118">
        <v>30</v>
      </c>
      <c r="E252" s="119">
        <v>15000</v>
      </c>
      <c r="F252" s="230">
        <f t="shared" si="8"/>
        <v>450000</v>
      </c>
    </row>
    <row r="253" spans="1:6" ht="25.5" x14ac:dyDescent="0.2">
      <c r="A253" s="128">
        <v>31</v>
      </c>
      <c r="B253" s="127" t="s">
        <v>137</v>
      </c>
      <c r="C253" s="117" t="s">
        <v>99</v>
      </c>
      <c r="D253" s="118">
        <v>1.25</v>
      </c>
      <c r="E253" s="119">
        <v>1549204</v>
      </c>
      <c r="F253" s="230">
        <f t="shared" si="8"/>
        <v>1936505</v>
      </c>
    </row>
    <row r="254" spans="1:6" x14ac:dyDescent="0.2">
      <c r="A254" s="128"/>
      <c r="B254" s="114" t="s">
        <v>30</v>
      </c>
      <c r="C254" s="113"/>
      <c r="D254" s="124"/>
      <c r="E254" s="125"/>
      <c r="F254" s="125">
        <f>ROUND(F253+F252+F250+F249+F247+F246+F244+F243+F242+F241+F240+F239+F238+F237+F235+F234+F233+F232+F230+F229+F227+F226+F225+F224,0)</f>
        <v>40946062</v>
      </c>
    </row>
    <row r="255" spans="1:6" x14ac:dyDescent="0.2">
      <c r="A255" s="126"/>
      <c r="B255" s="126"/>
      <c r="C255" s="126"/>
      <c r="D255" s="126"/>
      <c r="E255" s="126"/>
      <c r="F255" s="126"/>
    </row>
    <row r="256" spans="1:6" x14ac:dyDescent="0.2">
      <c r="A256" s="77" t="s">
        <v>78</v>
      </c>
      <c r="B256" s="109"/>
      <c r="C256" s="109"/>
      <c r="D256" s="109"/>
      <c r="E256" s="109"/>
      <c r="F256" s="111">
        <f>ROUND(F254/1.3495,0)</f>
        <v>30341654</v>
      </c>
    </row>
    <row r="257" spans="1:6" x14ac:dyDescent="0.2">
      <c r="A257" s="77" t="s">
        <v>79</v>
      </c>
      <c r="B257" s="109"/>
      <c r="C257" s="109"/>
      <c r="D257" s="112">
        <v>0.24</v>
      </c>
      <c r="E257" s="109"/>
      <c r="F257" s="111">
        <f>ROUND(F256*D257,0)</f>
        <v>7281997</v>
      </c>
    </row>
    <row r="258" spans="1:6" x14ac:dyDescent="0.2">
      <c r="A258" s="77" t="s">
        <v>32</v>
      </c>
      <c r="B258" s="109"/>
      <c r="C258" s="109"/>
      <c r="D258" s="112">
        <v>0.05</v>
      </c>
      <c r="E258" s="109"/>
      <c r="F258" s="111">
        <f>ROUND(F256*D258,0)</f>
        <v>1517083</v>
      </c>
    </row>
    <row r="259" spans="1:6" x14ac:dyDescent="0.2">
      <c r="A259" s="77" t="s">
        <v>80</v>
      </c>
      <c r="B259" s="85"/>
      <c r="C259" s="85"/>
      <c r="D259" s="112">
        <v>0.05</v>
      </c>
      <c r="E259" s="85"/>
      <c r="F259" s="111">
        <f>ROUND(F256*D259,0)</f>
        <v>1517083</v>
      </c>
    </row>
    <row r="260" spans="1:6" x14ac:dyDescent="0.2">
      <c r="A260" s="77" t="s">
        <v>81</v>
      </c>
      <c r="B260" s="85"/>
      <c r="C260" s="85"/>
      <c r="D260" s="112"/>
      <c r="E260" s="85"/>
      <c r="F260" s="111">
        <f>ROUND(F256+F257+F258+F259,0)</f>
        <v>40657817</v>
      </c>
    </row>
    <row r="261" spans="1:6" x14ac:dyDescent="0.2">
      <c r="A261" s="77" t="s">
        <v>82</v>
      </c>
      <c r="B261" s="85"/>
      <c r="C261" s="85"/>
      <c r="D261" s="112">
        <v>0.19</v>
      </c>
      <c r="E261" s="85"/>
      <c r="F261" s="111">
        <f>ROUND(F259*D261,0)</f>
        <v>288246</v>
      </c>
    </row>
    <row r="262" spans="1:6" x14ac:dyDescent="0.2">
      <c r="A262" s="88" t="s">
        <v>83</v>
      </c>
      <c r="B262" s="88"/>
      <c r="C262" s="88"/>
      <c r="D262" s="88"/>
      <c r="E262" s="88"/>
      <c r="F262" s="111">
        <f>ROUND(F260+F261,0)</f>
        <v>40946063</v>
      </c>
    </row>
    <row r="265" spans="1:6" x14ac:dyDescent="0.2">
      <c r="A265" s="632" t="s">
        <v>2</v>
      </c>
      <c r="B265" s="632"/>
      <c r="C265" s="632"/>
      <c r="D265" s="632"/>
      <c r="E265" s="632"/>
      <c r="F265" s="632"/>
    </row>
    <row r="266" spans="1:6" x14ac:dyDescent="0.2">
      <c r="A266" s="627" t="s">
        <v>15</v>
      </c>
      <c r="B266" s="627" t="s">
        <v>16</v>
      </c>
      <c r="C266" s="627" t="s">
        <v>33</v>
      </c>
      <c r="D266" s="627" t="s">
        <v>34</v>
      </c>
      <c r="E266" s="627"/>
      <c r="F266" s="627"/>
    </row>
    <row r="267" spans="1:6" x14ac:dyDescent="0.2">
      <c r="A267" s="627"/>
      <c r="B267" s="627"/>
      <c r="C267" s="627"/>
      <c r="D267" s="113" t="s">
        <v>35</v>
      </c>
      <c r="E267" s="113" t="s">
        <v>36</v>
      </c>
      <c r="F267" s="113" t="s">
        <v>37</v>
      </c>
    </row>
    <row r="268" spans="1:6" x14ac:dyDescent="0.2">
      <c r="A268" s="128">
        <v>1</v>
      </c>
      <c r="B268" s="114" t="s">
        <v>38</v>
      </c>
      <c r="C268" s="627"/>
      <c r="D268" s="627"/>
      <c r="E268" s="627"/>
      <c r="F268" s="115"/>
    </row>
    <row r="269" spans="1:6" ht="25.5" x14ac:dyDescent="0.2">
      <c r="A269" s="116">
        <v>2</v>
      </c>
      <c r="B269" s="127" t="s">
        <v>146</v>
      </c>
      <c r="C269" s="117" t="s">
        <v>22</v>
      </c>
      <c r="D269" s="118">
        <v>96</v>
      </c>
      <c r="E269" s="119">
        <v>4828</v>
      </c>
      <c r="F269" s="231">
        <f t="shared" ref="F269:F299" si="9">ROUND(D269*E269,0)</f>
        <v>463488</v>
      </c>
    </row>
    <row r="270" spans="1:6" ht="25.5" x14ac:dyDescent="0.2">
      <c r="A270" s="116">
        <f>A269+1</f>
        <v>3</v>
      </c>
      <c r="B270" s="127" t="s">
        <v>18</v>
      </c>
      <c r="C270" s="117" t="s">
        <v>22</v>
      </c>
      <c r="D270" s="118">
        <v>204</v>
      </c>
      <c r="E270" s="119">
        <v>12600</v>
      </c>
      <c r="F270" s="231">
        <f t="shared" si="9"/>
        <v>2570400</v>
      </c>
    </row>
    <row r="271" spans="1:6" x14ac:dyDescent="0.2">
      <c r="A271" s="116">
        <f t="shared" ref="A271:A299" si="10">A270+1</f>
        <v>4</v>
      </c>
      <c r="B271" s="123" t="s">
        <v>19</v>
      </c>
      <c r="C271" s="117" t="s">
        <v>45</v>
      </c>
      <c r="D271" s="118">
        <v>2</v>
      </c>
      <c r="E271" s="119">
        <v>143842</v>
      </c>
      <c r="F271" s="231">
        <f t="shared" si="9"/>
        <v>287684</v>
      </c>
    </row>
    <row r="272" spans="1:6" x14ac:dyDescent="0.2">
      <c r="A272" s="116">
        <f t="shared" si="10"/>
        <v>5</v>
      </c>
      <c r="B272" s="127" t="s">
        <v>20</v>
      </c>
      <c r="C272" s="117" t="s">
        <v>45</v>
      </c>
      <c r="D272" s="118">
        <v>1</v>
      </c>
      <c r="E272" s="119">
        <v>728158</v>
      </c>
      <c r="F272" s="231">
        <f t="shared" si="9"/>
        <v>728158</v>
      </c>
    </row>
    <row r="273" spans="1:6" x14ac:dyDescent="0.2">
      <c r="A273" s="116">
        <f t="shared" si="10"/>
        <v>6</v>
      </c>
      <c r="B273" s="114" t="s">
        <v>48</v>
      </c>
      <c r="C273" s="115"/>
      <c r="D273" s="115"/>
      <c r="E273" s="119"/>
      <c r="F273" s="231" t="s">
        <v>0</v>
      </c>
    </row>
    <row r="274" spans="1:6" x14ac:dyDescent="0.2">
      <c r="A274" s="116">
        <f t="shared" si="10"/>
        <v>7</v>
      </c>
      <c r="B274" s="120" t="s">
        <v>111</v>
      </c>
      <c r="C274" s="117" t="s">
        <v>22</v>
      </c>
      <c r="D274" s="118">
        <v>352</v>
      </c>
      <c r="E274" s="119">
        <v>7065</v>
      </c>
      <c r="F274" s="231">
        <f t="shared" si="9"/>
        <v>2486880</v>
      </c>
    </row>
    <row r="275" spans="1:6" ht="38.25" x14ac:dyDescent="0.2">
      <c r="A275" s="116">
        <f t="shared" si="10"/>
        <v>8</v>
      </c>
      <c r="B275" s="121" t="s">
        <v>192</v>
      </c>
      <c r="C275" s="116" t="s">
        <v>302</v>
      </c>
      <c r="D275" s="232">
        <v>26</v>
      </c>
      <c r="E275" s="151">
        <v>77141</v>
      </c>
      <c r="F275" s="231">
        <f t="shared" si="9"/>
        <v>2005666</v>
      </c>
    </row>
    <row r="276" spans="1:6" x14ac:dyDescent="0.2">
      <c r="A276" s="116">
        <f t="shared" si="10"/>
        <v>9</v>
      </c>
      <c r="B276" s="114" t="s">
        <v>51</v>
      </c>
      <c r="C276" s="115"/>
      <c r="D276" s="115"/>
      <c r="E276" s="119"/>
      <c r="F276" s="231" t="s">
        <v>0</v>
      </c>
    </row>
    <row r="277" spans="1:6" x14ac:dyDescent="0.2">
      <c r="A277" s="116">
        <f t="shared" si="10"/>
        <v>10</v>
      </c>
      <c r="B277" s="123" t="s">
        <v>147</v>
      </c>
      <c r="C277" s="117" t="s">
        <v>302</v>
      </c>
      <c r="D277" s="118">
        <v>252</v>
      </c>
      <c r="E277" s="119">
        <v>24368</v>
      </c>
      <c r="F277" s="231">
        <f t="shared" si="9"/>
        <v>6140736</v>
      </c>
    </row>
    <row r="278" spans="1:6" x14ac:dyDescent="0.2">
      <c r="A278" s="116">
        <f t="shared" si="10"/>
        <v>11</v>
      </c>
      <c r="B278" s="123" t="s">
        <v>196</v>
      </c>
      <c r="C278" s="117" t="s">
        <v>302</v>
      </c>
      <c r="D278" s="118">
        <v>35</v>
      </c>
      <c r="E278" s="119">
        <v>28410</v>
      </c>
      <c r="F278" s="231">
        <f t="shared" si="9"/>
        <v>994350</v>
      </c>
    </row>
    <row r="279" spans="1:6" x14ac:dyDescent="0.2">
      <c r="A279" s="116">
        <f t="shared" si="10"/>
        <v>12</v>
      </c>
      <c r="B279" s="123" t="s">
        <v>197</v>
      </c>
      <c r="C279" s="117" t="s">
        <v>22</v>
      </c>
      <c r="D279" s="118">
        <v>80</v>
      </c>
      <c r="E279" s="119">
        <v>28823</v>
      </c>
      <c r="F279" s="231">
        <f t="shared" si="9"/>
        <v>2305840</v>
      </c>
    </row>
    <row r="280" spans="1:6" ht="25.5" x14ac:dyDescent="0.2">
      <c r="A280" s="116">
        <f t="shared" si="10"/>
        <v>13</v>
      </c>
      <c r="B280" s="127" t="s">
        <v>21</v>
      </c>
      <c r="C280" s="117" t="s">
        <v>302</v>
      </c>
      <c r="D280" s="118">
        <v>86</v>
      </c>
      <c r="E280" s="119">
        <v>30324</v>
      </c>
      <c r="F280" s="231">
        <f t="shared" si="9"/>
        <v>2607864</v>
      </c>
    </row>
    <row r="281" spans="1:6" x14ac:dyDescent="0.2">
      <c r="A281" s="116">
        <f t="shared" si="10"/>
        <v>14</v>
      </c>
      <c r="B281" s="114" t="s">
        <v>148</v>
      </c>
      <c r="C281" s="115"/>
      <c r="D281" s="115"/>
      <c r="E281" s="119"/>
      <c r="F281" s="231" t="s">
        <v>0</v>
      </c>
    </row>
    <row r="282" spans="1:6" ht="25.5" x14ac:dyDescent="0.2">
      <c r="A282" s="116">
        <f t="shared" si="10"/>
        <v>15</v>
      </c>
      <c r="B282" s="127" t="s">
        <v>687</v>
      </c>
      <c r="C282" s="117" t="s">
        <v>22</v>
      </c>
      <c r="D282" s="118">
        <v>96</v>
      </c>
      <c r="E282" s="119">
        <v>25000</v>
      </c>
      <c r="F282" s="231">
        <f t="shared" si="9"/>
        <v>2400000</v>
      </c>
    </row>
    <row r="283" spans="1:6" ht="38.25" x14ac:dyDescent="0.2">
      <c r="A283" s="116">
        <f t="shared" si="10"/>
        <v>16</v>
      </c>
      <c r="B283" s="122" t="s">
        <v>149</v>
      </c>
      <c r="C283" s="117" t="s">
        <v>22</v>
      </c>
      <c r="D283" s="118">
        <v>2.2999999999999998</v>
      </c>
      <c r="E283" s="119">
        <v>590196</v>
      </c>
      <c r="F283" s="231">
        <f t="shared" si="9"/>
        <v>1357451</v>
      </c>
    </row>
    <row r="284" spans="1:6" ht="38.25" x14ac:dyDescent="0.2">
      <c r="A284" s="116">
        <f t="shared" si="10"/>
        <v>17</v>
      </c>
      <c r="B284" s="605" t="s">
        <v>198</v>
      </c>
      <c r="C284" s="117" t="s">
        <v>116</v>
      </c>
      <c r="D284" s="118">
        <v>3</v>
      </c>
      <c r="E284" s="119">
        <v>680000</v>
      </c>
      <c r="F284" s="231">
        <f t="shared" si="9"/>
        <v>2040000</v>
      </c>
    </row>
    <row r="285" spans="1:6" x14ac:dyDescent="0.2">
      <c r="A285" s="116">
        <f t="shared" si="10"/>
        <v>18</v>
      </c>
      <c r="B285" s="123" t="s">
        <v>151</v>
      </c>
      <c r="C285" s="117" t="s">
        <v>116</v>
      </c>
      <c r="D285" s="118">
        <v>3</v>
      </c>
      <c r="E285" s="119">
        <v>500414</v>
      </c>
      <c r="F285" s="231">
        <f t="shared" si="9"/>
        <v>1501242</v>
      </c>
    </row>
    <row r="286" spans="1:6" ht="25.5" x14ac:dyDescent="0.2">
      <c r="A286" s="116">
        <f t="shared" si="10"/>
        <v>19</v>
      </c>
      <c r="B286" s="127" t="s">
        <v>23</v>
      </c>
      <c r="C286" s="117" t="s">
        <v>22</v>
      </c>
      <c r="D286" s="118">
        <v>84</v>
      </c>
      <c r="E286" s="119">
        <v>12780</v>
      </c>
      <c r="F286" s="231">
        <f t="shared" si="9"/>
        <v>1073520</v>
      </c>
    </row>
    <row r="287" spans="1:6" ht="25.5" x14ac:dyDescent="0.2">
      <c r="A287" s="116">
        <f t="shared" si="10"/>
        <v>20</v>
      </c>
      <c r="B287" s="127" t="s">
        <v>24</v>
      </c>
      <c r="C287" s="117" t="s">
        <v>45</v>
      </c>
      <c r="D287" s="118">
        <v>16</v>
      </c>
      <c r="E287" s="119">
        <v>370202</v>
      </c>
      <c r="F287" s="231">
        <f t="shared" si="9"/>
        <v>5923232</v>
      </c>
    </row>
    <row r="288" spans="1:6" x14ac:dyDescent="0.2">
      <c r="A288" s="116">
        <f t="shared" si="10"/>
        <v>21</v>
      </c>
      <c r="B288" s="123" t="s">
        <v>658</v>
      </c>
      <c r="C288" s="117" t="s">
        <v>45</v>
      </c>
      <c r="D288" s="118">
        <v>16</v>
      </c>
      <c r="E288" s="119">
        <v>40262</v>
      </c>
      <c r="F288" s="231">
        <f t="shared" si="9"/>
        <v>644192</v>
      </c>
    </row>
    <row r="289" spans="1:6" x14ac:dyDescent="0.2">
      <c r="A289" s="116">
        <f t="shared" si="10"/>
        <v>22</v>
      </c>
      <c r="B289" s="123" t="s">
        <v>152</v>
      </c>
      <c r="C289" s="117" t="s">
        <v>45</v>
      </c>
      <c r="D289" s="118">
        <v>2</v>
      </c>
      <c r="E289" s="119">
        <v>83623</v>
      </c>
      <c r="F289" s="231">
        <f t="shared" si="9"/>
        <v>167246</v>
      </c>
    </row>
    <row r="290" spans="1:6" x14ac:dyDescent="0.2">
      <c r="A290" s="116">
        <f t="shared" si="10"/>
        <v>23</v>
      </c>
      <c r="B290" s="114" t="s">
        <v>120</v>
      </c>
      <c r="C290" s="115"/>
      <c r="D290" s="115"/>
      <c r="E290" s="119"/>
      <c r="F290" s="231" t="s">
        <v>0</v>
      </c>
    </row>
    <row r="291" spans="1:6" x14ac:dyDescent="0.2">
      <c r="A291" s="116">
        <f t="shared" si="10"/>
        <v>24</v>
      </c>
      <c r="B291" s="123" t="s">
        <v>25</v>
      </c>
      <c r="C291" s="117" t="s">
        <v>302</v>
      </c>
      <c r="D291" s="118">
        <v>18</v>
      </c>
      <c r="E291" s="119">
        <v>111720</v>
      </c>
      <c r="F291" s="231">
        <f t="shared" si="9"/>
        <v>2010960</v>
      </c>
    </row>
    <row r="292" spans="1:6" ht="25.5" x14ac:dyDescent="0.2">
      <c r="A292" s="116">
        <f t="shared" si="10"/>
        <v>25</v>
      </c>
      <c r="B292" s="127" t="s">
        <v>121</v>
      </c>
      <c r="C292" s="117" t="s">
        <v>302</v>
      </c>
      <c r="D292" s="118">
        <v>225</v>
      </c>
      <c r="E292" s="119">
        <v>20492</v>
      </c>
      <c r="F292" s="231">
        <f t="shared" si="9"/>
        <v>4610700</v>
      </c>
    </row>
    <row r="293" spans="1:6" x14ac:dyDescent="0.2">
      <c r="A293" s="116">
        <f t="shared" si="10"/>
        <v>26</v>
      </c>
      <c r="B293" s="123" t="s">
        <v>153</v>
      </c>
      <c r="C293" s="117" t="s">
        <v>302</v>
      </c>
      <c r="D293" s="118">
        <v>36</v>
      </c>
      <c r="E293" s="119">
        <v>134118</v>
      </c>
      <c r="F293" s="231">
        <f t="shared" si="9"/>
        <v>4828248</v>
      </c>
    </row>
    <row r="294" spans="1:6" x14ac:dyDescent="0.2">
      <c r="A294" s="116">
        <f t="shared" si="10"/>
        <v>27</v>
      </c>
      <c r="B294" s="114" t="s">
        <v>123</v>
      </c>
      <c r="C294" s="115"/>
      <c r="D294" s="115"/>
      <c r="E294" s="119"/>
      <c r="F294" s="231" t="s">
        <v>0</v>
      </c>
    </row>
    <row r="295" spans="1:6" ht="25.5" x14ac:dyDescent="0.2">
      <c r="A295" s="116">
        <f t="shared" si="10"/>
        <v>28</v>
      </c>
      <c r="B295" s="127" t="s">
        <v>154</v>
      </c>
      <c r="C295" s="117" t="s">
        <v>302</v>
      </c>
      <c r="D295" s="118">
        <v>1</v>
      </c>
      <c r="E295" s="119">
        <v>560630</v>
      </c>
      <c r="F295" s="231">
        <f t="shared" si="9"/>
        <v>560630</v>
      </c>
    </row>
    <row r="296" spans="1:6" ht="25.5" x14ac:dyDescent="0.2">
      <c r="A296" s="116">
        <f t="shared" si="10"/>
        <v>29</v>
      </c>
      <c r="B296" s="127" t="s">
        <v>195</v>
      </c>
      <c r="C296" s="117" t="s">
        <v>302</v>
      </c>
      <c r="D296" s="118">
        <v>26</v>
      </c>
      <c r="E296" s="119">
        <v>761360</v>
      </c>
      <c r="F296" s="231">
        <f t="shared" si="9"/>
        <v>19795360</v>
      </c>
    </row>
    <row r="297" spans="1:6" x14ac:dyDescent="0.2">
      <c r="A297" s="116">
        <f t="shared" si="10"/>
        <v>30</v>
      </c>
      <c r="B297" s="114" t="s">
        <v>74</v>
      </c>
      <c r="C297" s="115"/>
      <c r="D297" s="115"/>
      <c r="E297" s="119"/>
      <c r="F297" s="231" t="s">
        <v>0</v>
      </c>
    </row>
    <row r="298" spans="1:6" x14ac:dyDescent="0.2">
      <c r="A298" s="116">
        <f t="shared" si="10"/>
        <v>31</v>
      </c>
      <c r="B298" s="127" t="s">
        <v>171</v>
      </c>
      <c r="C298" s="117" t="s">
        <v>136</v>
      </c>
      <c r="D298" s="118">
        <v>36</v>
      </c>
      <c r="E298" s="119">
        <v>5484</v>
      </c>
      <c r="F298" s="231">
        <f t="shared" si="9"/>
        <v>197424</v>
      </c>
    </row>
    <row r="299" spans="1:6" ht="25.5" x14ac:dyDescent="0.2">
      <c r="A299" s="116">
        <f t="shared" si="10"/>
        <v>32</v>
      </c>
      <c r="B299" s="127" t="s">
        <v>137</v>
      </c>
      <c r="C299" s="117" t="s">
        <v>99</v>
      </c>
      <c r="D299" s="118">
        <v>1.25</v>
      </c>
      <c r="E299" s="119">
        <v>1549202</v>
      </c>
      <c r="F299" s="231">
        <f t="shared" si="9"/>
        <v>1936503</v>
      </c>
    </row>
    <row r="300" spans="1:6" x14ac:dyDescent="0.2">
      <c r="A300" s="128"/>
      <c r="B300" s="114" t="s">
        <v>30</v>
      </c>
      <c r="C300" s="113"/>
      <c r="D300" s="124"/>
      <c r="E300" s="125"/>
      <c r="F300" s="125">
        <f>ROUND(SUM(F269:F299),0)</f>
        <v>69637774</v>
      </c>
    </row>
    <row r="301" spans="1:6" x14ac:dyDescent="0.2">
      <c r="A301" s="126"/>
      <c r="B301" s="126"/>
      <c r="C301" s="126"/>
      <c r="D301" s="126"/>
      <c r="E301" s="126"/>
      <c r="F301" s="126"/>
    </row>
    <row r="302" spans="1:6" x14ac:dyDescent="0.2">
      <c r="A302" s="77" t="s">
        <v>78</v>
      </c>
      <c r="B302" s="109"/>
      <c r="C302" s="109"/>
      <c r="D302" s="109"/>
      <c r="E302" s="109"/>
      <c r="F302" s="111">
        <f>ROUND(F300/1.3495,0)</f>
        <v>51602648</v>
      </c>
    </row>
    <row r="303" spans="1:6" x14ac:dyDescent="0.2">
      <c r="A303" s="77" t="s">
        <v>79</v>
      </c>
      <c r="B303" s="109"/>
      <c r="C303" s="109"/>
      <c r="D303" s="112">
        <v>0.24</v>
      </c>
      <c r="E303" s="109"/>
      <c r="F303" s="111">
        <f>ROUND(F302*D303,0)</f>
        <v>12384636</v>
      </c>
    </row>
    <row r="304" spans="1:6" x14ac:dyDescent="0.2">
      <c r="A304" s="77" t="s">
        <v>32</v>
      </c>
      <c r="B304" s="109"/>
      <c r="C304" s="109"/>
      <c r="D304" s="112">
        <v>0.05</v>
      </c>
      <c r="E304" s="109"/>
      <c r="F304" s="111">
        <f>ROUND(F302*D304,0)</f>
        <v>2580132</v>
      </c>
    </row>
    <row r="305" spans="1:6" x14ac:dyDescent="0.2">
      <c r="A305" s="77" t="s">
        <v>80</v>
      </c>
      <c r="B305" s="85"/>
      <c r="C305" s="85"/>
      <c r="D305" s="112">
        <v>0.05</v>
      </c>
      <c r="E305" s="85"/>
      <c r="F305" s="111">
        <f>ROUND(F302*D305,0)</f>
        <v>2580132</v>
      </c>
    </row>
    <row r="306" spans="1:6" x14ac:dyDescent="0.2">
      <c r="A306" s="77" t="s">
        <v>81</v>
      </c>
      <c r="B306" s="85"/>
      <c r="C306" s="85"/>
      <c r="D306" s="112"/>
      <c r="E306" s="85"/>
      <c r="F306" s="111">
        <f>ROUND(SUM(F302:F305),0)</f>
        <v>69147548</v>
      </c>
    </row>
    <row r="307" spans="1:6" x14ac:dyDescent="0.2">
      <c r="A307" s="77" t="s">
        <v>82</v>
      </c>
      <c r="B307" s="85"/>
      <c r="C307" s="85"/>
      <c r="D307" s="112">
        <v>0.19</v>
      </c>
      <c r="E307" s="85"/>
      <c r="F307" s="111">
        <f>ROUND(F305*D307,0)</f>
        <v>490225</v>
      </c>
    </row>
    <row r="308" spans="1:6" x14ac:dyDescent="0.2">
      <c r="A308" s="88" t="s">
        <v>83</v>
      </c>
      <c r="B308" s="88"/>
      <c r="C308" s="88"/>
      <c r="D308" s="88"/>
      <c r="E308" s="88"/>
      <c r="F308" s="111">
        <f>ROUND(SUM(F306+F307),0)</f>
        <v>69637773</v>
      </c>
    </row>
    <row r="309" spans="1:6" x14ac:dyDescent="0.2">
      <c r="F309" s="129" t="s">
        <v>0</v>
      </c>
    </row>
    <row r="310" spans="1:6" x14ac:dyDescent="0.2">
      <c r="F310" s="129" t="s">
        <v>0</v>
      </c>
    </row>
    <row r="311" spans="1:6" x14ac:dyDescent="0.2">
      <c r="A311" s="632" t="s">
        <v>3</v>
      </c>
      <c r="B311" s="632"/>
      <c r="C311" s="632"/>
      <c r="D311" s="632"/>
      <c r="E311" s="632"/>
      <c r="F311" s="633"/>
    </row>
    <row r="312" spans="1:6" x14ac:dyDescent="0.2">
      <c r="A312" s="627" t="s">
        <v>15</v>
      </c>
      <c r="B312" s="627" t="s">
        <v>16</v>
      </c>
      <c r="C312" s="627" t="s">
        <v>33</v>
      </c>
      <c r="D312" s="627" t="s">
        <v>34</v>
      </c>
      <c r="E312" s="627"/>
      <c r="F312" s="627"/>
    </row>
    <row r="313" spans="1:6" x14ac:dyDescent="0.2">
      <c r="A313" s="627"/>
      <c r="B313" s="627"/>
      <c r="C313" s="627"/>
      <c r="D313" s="113" t="s">
        <v>35</v>
      </c>
      <c r="E313" s="113" t="s">
        <v>36</v>
      </c>
      <c r="F313" s="113" t="s">
        <v>37</v>
      </c>
    </row>
    <row r="314" spans="1:6" x14ac:dyDescent="0.2">
      <c r="A314" s="128">
        <v>1</v>
      </c>
      <c r="B314" s="114" t="s">
        <v>38</v>
      </c>
      <c r="C314" s="627"/>
      <c r="D314" s="627"/>
      <c r="E314" s="627"/>
      <c r="F314" s="115"/>
    </row>
    <row r="315" spans="1:6" ht="25.5" x14ac:dyDescent="0.2">
      <c r="A315" s="116">
        <v>2</v>
      </c>
      <c r="B315" s="127" t="s">
        <v>146</v>
      </c>
      <c r="C315" s="117" t="s">
        <v>22</v>
      </c>
      <c r="D315" s="118">
        <v>96</v>
      </c>
      <c r="E315" s="119">
        <v>4828</v>
      </c>
      <c r="F315" s="231">
        <f t="shared" ref="F315:F344" si="11">ROUND(D315*E315,0)</f>
        <v>463488</v>
      </c>
    </row>
    <row r="316" spans="1:6" ht="25.5" x14ac:dyDescent="0.2">
      <c r="A316" s="116">
        <f>A315+1</f>
        <v>3</v>
      </c>
      <c r="B316" s="127" t="s">
        <v>18</v>
      </c>
      <c r="C316" s="117" t="s">
        <v>22</v>
      </c>
      <c r="D316" s="118">
        <v>204</v>
      </c>
      <c r="E316" s="119">
        <v>12600</v>
      </c>
      <c r="F316" s="231">
        <f t="shared" si="11"/>
        <v>2570400</v>
      </c>
    </row>
    <row r="317" spans="1:6" x14ac:dyDescent="0.2">
      <c r="A317" s="116">
        <f t="shared" ref="A317:A344" si="12">A316+1</f>
        <v>4</v>
      </c>
      <c r="B317" s="127" t="s">
        <v>19</v>
      </c>
      <c r="C317" s="117" t="s">
        <v>45</v>
      </c>
      <c r="D317" s="118">
        <v>2</v>
      </c>
      <c r="E317" s="119">
        <v>143842</v>
      </c>
      <c r="F317" s="231">
        <f t="shared" si="11"/>
        <v>287684</v>
      </c>
    </row>
    <row r="318" spans="1:6" x14ac:dyDescent="0.2">
      <c r="A318" s="116">
        <f t="shared" si="12"/>
        <v>5</v>
      </c>
      <c r="B318" s="127" t="s">
        <v>20</v>
      </c>
      <c r="C318" s="117" t="s">
        <v>45</v>
      </c>
      <c r="D318" s="118">
        <v>1</v>
      </c>
      <c r="E318" s="119">
        <v>728158</v>
      </c>
      <c r="F318" s="231">
        <f t="shared" si="11"/>
        <v>728158</v>
      </c>
    </row>
    <row r="319" spans="1:6" x14ac:dyDescent="0.2">
      <c r="A319" s="116">
        <f t="shared" si="12"/>
        <v>6</v>
      </c>
      <c r="B319" s="114" t="s">
        <v>48</v>
      </c>
      <c r="C319" s="115"/>
      <c r="D319" s="115"/>
      <c r="E319" s="119"/>
      <c r="F319" s="231" t="s">
        <v>0</v>
      </c>
    </row>
    <row r="320" spans="1:6" x14ac:dyDescent="0.2">
      <c r="A320" s="116">
        <f t="shared" si="12"/>
        <v>7</v>
      </c>
      <c r="B320" s="120" t="s">
        <v>111</v>
      </c>
      <c r="C320" s="117" t="s">
        <v>22</v>
      </c>
      <c r="D320" s="118">
        <v>328</v>
      </c>
      <c r="E320" s="119">
        <v>7065</v>
      </c>
      <c r="F320" s="231">
        <f t="shared" si="11"/>
        <v>2317320</v>
      </c>
    </row>
    <row r="321" spans="1:6" ht="38.25" x14ac:dyDescent="0.2">
      <c r="A321" s="116">
        <f t="shared" si="12"/>
        <v>8</v>
      </c>
      <c r="B321" s="127" t="s">
        <v>192</v>
      </c>
      <c r="C321" s="117" t="s">
        <v>302</v>
      </c>
      <c r="D321" s="118">
        <v>25</v>
      </c>
      <c r="E321" s="119">
        <v>77141</v>
      </c>
      <c r="F321" s="231">
        <f t="shared" si="11"/>
        <v>1928525</v>
      </c>
    </row>
    <row r="322" spans="1:6" x14ac:dyDescent="0.2">
      <c r="A322" s="116">
        <f t="shared" si="12"/>
        <v>9</v>
      </c>
      <c r="B322" s="114" t="s">
        <v>51</v>
      </c>
      <c r="C322" s="115"/>
      <c r="D322" s="115"/>
      <c r="E322" s="119"/>
      <c r="F322" s="231" t="s">
        <v>0</v>
      </c>
    </row>
    <row r="323" spans="1:6" x14ac:dyDescent="0.2">
      <c r="A323" s="116">
        <f t="shared" si="12"/>
        <v>10</v>
      </c>
      <c r="B323" s="127" t="s">
        <v>147</v>
      </c>
      <c r="C323" s="117" t="s">
        <v>302</v>
      </c>
      <c r="D323" s="118">
        <v>213</v>
      </c>
      <c r="E323" s="119">
        <v>24368</v>
      </c>
      <c r="F323" s="231">
        <f t="shared" si="11"/>
        <v>5190384</v>
      </c>
    </row>
    <row r="324" spans="1:6" x14ac:dyDescent="0.2">
      <c r="A324" s="116">
        <f t="shared" si="12"/>
        <v>11</v>
      </c>
      <c r="B324" s="121" t="s">
        <v>197</v>
      </c>
      <c r="C324" s="117" t="s">
        <v>22</v>
      </c>
      <c r="D324" s="118">
        <v>10</v>
      </c>
      <c r="E324" s="119">
        <v>28823</v>
      </c>
      <c r="F324" s="231">
        <f t="shared" si="11"/>
        <v>288230</v>
      </c>
    </row>
    <row r="325" spans="1:6" ht="25.5" x14ac:dyDescent="0.2">
      <c r="A325" s="116">
        <f t="shared" si="12"/>
        <v>12</v>
      </c>
      <c r="B325" s="127" t="s">
        <v>21</v>
      </c>
      <c r="C325" s="117" t="s">
        <v>302</v>
      </c>
      <c r="D325" s="118">
        <v>82</v>
      </c>
      <c r="E325" s="119">
        <v>30324</v>
      </c>
      <c r="F325" s="231">
        <f t="shared" si="11"/>
        <v>2486568</v>
      </c>
    </row>
    <row r="326" spans="1:6" x14ac:dyDescent="0.2">
      <c r="A326" s="116">
        <f t="shared" si="12"/>
        <v>13</v>
      </c>
      <c r="B326" s="114" t="s">
        <v>148</v>
      </c>
      <c r="C326" s="115"/>
      <c r="D326" s="115"/>
      <c r="E326" s="119"/>
      <c r="F326" s="231" t="s">
        <v>0</v>
      </c>
    </row>
    <row r="327" spans="1:6" ht="25.5" x14ac:dyDescent="0.2">
      <c r="A327" s="116">
        <f t="shared" si="12"/>
        <v>14</v>
      </c>
      <c r="B327" s="605" t="s">
        <v>687</v>
      </c>
      <c r="C327" s="117" t="s">
        <v>22</v>
      </c>
      <c r="D327" s="118">
        <v>96</v>
      </c>
      <c r="E327" s="119">
        <v>25000</v>
      </c>
      <c r="F327" s="231">
        <f t="shared" si="11"/>
        <v>2400000</v>
      </c>
    </row>
    <row r="328" spans="1:6" ht="46.5" customHeight="1" x14ac:dyDescent="0.2">
      <c r="A328" s="116">
        <f t="shared" si="12"/>
        <v>15</v>
      </c>
      <c r="B328" s="122" t="s">
        <v>149</v>
      </c>
      <c r="C328" s="117" t="s">
        <v>22</v>
      </c>
      <c r="D328" s="118">
        <v>0.5</v>
      </c>
      <c r="E328" s="119">
        <v>590196</v>
      </c>
      <c r="F328" s="231">
        <f t="shared" si="11"/>
        <v>295098</v>
      </c>
    </row>
    <row r="329" spans="1:6" ht="50.25" customHeight="1" x14ac:dyDescent="0.2">
      <c r="A329" s="116">
        <f t="shared" si="12"/>
        <v>16</v>
      </c>
      <c r="B329" s="121" t="s">
        <v>198</v>
      </c>
      <c r="C329" s="117" t="s">
        <v>116</v>
      </c>
      <c r="D329" s="118">
        <v>2</v>
      </c>
      <c r="E329" s="119">
        <v>680000</v>
      </c>
      <c r="F329" s="231">
        <f t="shared" si="11"/>
        <v>1360000</v>
      </c>
    </row>
    <row r="330" spans="1:6" x14ac:dyDescent="0.2">
      <c r="A330" s="116">
        <f t="shared" si="12"/>
        <v>17</v>
      </c>
      <c r="B330" s="123" t="s">
        <v>151</v>
      </c>
      <c r="C330" s="117" t="s">
        <v>116</v>
      </c>
      <c r="D330" s="118">
        <v>2</v>
      </c>
      <c r="E330" s="119">
        <v>500414</v>
      </c>
      <c r="F330" s="231">
        <f t="shared" si="11"/>
        <v>1000828</v>
      </c>
    </row>
    <row r="331" spans="1:6" ht="25.5" x14ac:dyDescent="0.2">
      <c r="A331" s="116">
        <f t="shared" si="12"/>
        <v>18</v>
      </c>
      <c r="B331" s="121" t="s">
        <v>23</v>
      </c>
      <c r="C331" s="117" t="s">
        <v>22</v>
      </c>
      <c r="D331" s="118">
        <v>72</v>
      </c>
      <c r="E331" s="119">
        <v>12780</v>
      </c>
      <c r="F331" s="231">
        <f t="shared" si="11"/>
        <v>920160</v>
      </c>
    </row>
    <row r="332" spans="1:6" ht="25.5" x14ac:dyDescent="0.2">
      <c r="A332" s="116">
        <f t="shared" si="12"/>
        <v>19</v>
      </c>
      <c r="B332" s="127" t="s">
        <v>24</v>
      </c>
      <c r="C332" s="117" t="s">
        <v>45</v>
      </c>
      <c r="D332" s="118">
        <v>17</v>
      </c>
      <c r="E332" s="119">
        <v>370202</v>
      </c>
      <c r="F332" s="231">
        <f t="shared" si="11"/>
        <v>6293434</v>
      </c>
    </row>
    <row r="333" spans="1:6" x14ac:dyDescent="0.2">
      <c r="A333" s="116">
        <f t="shared" si="12"/>
        <v>20</v>
      </c>
      <c r="B333" s="121" t="s">
        <v>658</v>
      </c>
      <c r="C333" s="117" t="s">
        <v>45</v>
      </c>
      <c r="D333" s="118">
        <v>17</v>
      </c>
      <c r="E333" s="119">
        <v>40262</v>
      </c>
      <c r="F333" s="231">
        <f t="shared" si="11"/>
        <v>684454</v>
      </c>
    </row>
    <row r="334" spans="1:6" x14ac:dyDescent="0.2">
      <c r="A334" s="116">
        <f t="shared" si="12"/>
        <v>21</v>
      </c>
      <c r="B334" s="123" t="s">
        <v>152</v>
      </c>
      <c r="C334" s="117" t="s">
        <v>45</v>
      </c>
      <c r="D334" s="118">
        <v>2</v>
      </c>
      <c r="E334" s="119">
        <v>83623</v>
      </c>
      <c r="F334" s="231">
        <f t="shared" si="11"/>
        <v>167246</v>
      </c>
    </row>
    <row r="335" spans="1:6" x14ac:dyDescent="0.2">
      <c r="A335" s="116">
        <f t="shared" si="12"/>
        <v>22</v>
      </c>
      <c r="B335" s="114" t="s">
        <v>120</v>
      </c>
      <c r="C335" s="115"/>
      <c r="D335" s="115"/>
      <c r="E335" s="119"/>
      <c r="F335" s="231" t="s">
        <v>0</v>
      </c>
    </row>
    <row r="336" spans="1:6" x14ac:dyDescent="0.2">
      <c r="A336" s="116">
        <f t="shared" si="12"/>
        <v>23</v>
      </c>
      <c r="B336" s="121" t="s">
        <v>25</v>
      </c>
      <c r="C336" s="117" t="s">
        <v>302</v>
      </c>
      <c r="D336" s="118">
        <v>16</v>
      </c>
      <c r="E336" s="119">
        <v>111720</v>
      </c>
      <c r="F336" s="231">
        <f t="shared" si="11"/>
        <v>1787520</v>
      </c>
    </row>
    <row r="337" spans="1:6" ht="25.5" x14ac:dyDescent="0.2">
      <c r="A337" s="116">
        <f t="shared" si="12"/>
        <v>24</v>
      </c>
      <c r="B337" s="127" t="s">
        <v>121</v>
      </c>
      <c r="C337" s="117" t="s">
        <v>302</v>
      </c>
      <c r="D337" s="118">
        <v>154</v>
      </c>
      <c r="E337" s="119">
        <v>20492</v>
      </c>
      <c r="F337" s="231">
        <f t="shared" si="11"/>
        <v>3155768</v>
      </c>
    </row>
    <row r="338" spans="1:6" x14ac:dyDescent="0.2">
      <c r="A338" s="116">
        <f t="shared" si="12"/>
        <v>25</v>
      </c>
      <c r="B338" s="123" t="s">
        <v>153</v>
      </c>
      <c r="C338" s="117" t="s">
        <v>302</v>
      </c>
      <c r="D338" s="118">
        <v>33</v>
      </c>
      <c r="E338" s="119">
        <v>134118</v>
      </c>
      <c r="F338" s="231">
        <f t="shared" si="11"/>
        <v>4425894</v>
      </c>
    </row>
    <row r="339" spans="1:6" x14ac:dyDescent="0.2">
      <c r="A339" s="116">
        <f t="shared" si="12"/>
        <v>26</v>
      </c>
      <c r="B339" s="114" t="s">
        <v>123</v>
      </c>
      <c r="C339" s="115"/>
      <c r="D339" s="115"/>
      <c r="E339" s="119"/>
      <c r="F339" s="231" t="s">
        <v>0</v>
      </c>
    </row>
    <row r="340" spans="1:6" ht="25.5" x14ac:dyDescent="0.2">
      <c r="A340" s="116">
        <f t="shared" si="12"/>
        <v>27</v>
      </c>
      <c r="B340" s="127" t="s">
        <v>154</v>
      </c>
      <c r="C340" s="117" t="s">
        <v>302</v>
      </c>
      <c r="D340" s="118">
        <v>5</v>
      </c>
      <c r="E340" s="119">
        <v>560630</v>
      </c>
      <c r="F340" s="231">
        <f t="shared" si="11"/>
        <v>2803150</v>
      </c>
    </row>
    <row r="341" spans="1:6" ht="25.5" x14ac:dyDescent="0.2">
      <c r="A341" s="116">
        <f t="shared" si="12"/>
        <v>28</v>
      </c>
      <c r="B341" s="127" t="s">
        <v>195</v>
      </c>
      <c r="C341" s="117" t="s">
        <v>302</v>
      </c>
      <c r="D341" s="118">
        <v>24.12</v>
      </c>
      <c r="E341" s="119">
        <v>761360</v>
      </c>
      <c r="F341" s="231">
        <f t="shared" si="11"/>
        <v>18364003</v>
      </c>
    </row>
    <row r="342" spans="1:6" x14ac:dyDescent="0.2">
      <c r="A342" s="116">
        <f t="shared" si="12"/>
        <v>29</v>
      </c>
      <c r="B342" s="114" t="s">
        <v>74</v>
      </c>
      <c r="C342" s="115"/>
      <c r="D342" s="115"/>
      <c r="E342" s="119"/>
      <c r="F342" s="231" t="s">
        <v>0</v>
      </c>
    </row>
    <row r="343" spans="1:6" x14ac:dyDescent="0.2">
      <c r="A343" s="116">
        <f t="shared" si="12"/>
        <v>30</v>
      </c>
      <c r="B343" s="123" t="s">
        <v>171</v>
      </c>
      <c r="C343" s="117" t="s">
        <v>136</v>
      </c>
      <c r="D343" s="118">
        <v>36</v>
      </c>
      <c r="E343" s="119">
        <v>5484</v>
      </c>
      <c r="F343" s="231">
        <f t="shared" si="11"/>
        <v>197424</v>
      </c>
    </row>
    <row r="344" spans="1:6" ht="25.5" x14ac:dyDescent="0.2">
      <c r="A344" s="116">
        <f t="shared" si="12"/>
        <v>31</v>
      </c>
      <c r="B344" s="127" t="s">
        <v>137</v>
      </c>
      <c r="C344" s="117" t="s">
        <v>99</v>
      </c>
      <c r="D344" s="118">
        <v>1.25</v>
      </c>
      <c r="E344" s="119">
        <v>1549202</v>
      </c>
      <c r="F344" s="231">
        <f t="shared" si="11"/>
        <v>1936503</v>
      </c>
    </row>
    <row r="345" spans="1:6" x14ac:dyDescent="0.2">
      <c r="A345" s="128"/>
      <c r="B345" s="114" t="s">
        <v>30</v>
      </c>
      <c r="C345" s="113"/>
      <c r="D345" s="124"/>
      <c r="E345" s="125"/>
      <c r="F345" s="125">
        <f>ROUND(SUM(F314:F344),0)</f>
        <v>62052239</v>
      </c>
    </row>
    <row r="346" spans="1:6" x14ac:dyDescent="0.2">
      <c r="A346" s="126"/>
      <c r="B346" s="126"/>
      <c r="C346" s="126"/>
      <c r="D346" s="126"/>
      <c r="E346" s="126"/>
      <c r="F346" s="126"/>
    </row>
    <row r="347" spans="1:6" x14ac:dyDescent="0.2">
      <c r="A347" s="77" t="s">
        <v>78</v>
      </c>
      <c r="B347" s="109"/>
      <c r="C347" s="109"/>
      <c r="D347" s="109"/>
      <c r="E347" s="109"/>
      <c r="F347" s="111">
        <f>ROUND(F345/1.3495,0)</f>
        <v>45981652</v>
      </c>
    </row>
    <row r="348" spans="1:6" x14ac:dyDescent="0.2">
      <c r="A348" s="77" t="s">
        <v>79</v>
      </c>
      <c r="B348" s="109"/>
      <c r="C348" s="109"/>
      <c r="D348" s="112">
        <v>0.24</v>
      </c>
      <c r="E348" s="109"/>
      <c r="F348" s="111">
        <f>ROUND(F347*D348,0)</f>
        <v>11035596</v>
      </c>
    </row>
    <row r="349" spans="1:6" x14ac:dyDescent="0.2">
      <c r="A349" s="77" t="s">
        <v>32</v>
      </c>
      <c r="B349" s="109"/>
      <c r="C349" s="109"/>
      <c r="D349" s="112">
        <v>0.05</v>
      </c>
      <c r="E349" s="109"/>
      <c r="F349" s="111">
        <f>ROUND(F347*D349,0)</f>
        <v>2299083</v>
      </c>
    </row>
    <row r="350" spans="1:6" x14ac:dyDescent="0.2">
      <c r="A350" s="77" t="s">
        <v>80</v>
      </c>
      <c r="B350" s="85"/>
      <c r="C350" s="85"/>
      <c r="D350" s="112">
        <v>0.05</v>
      </c>
      <c r="E350" s="85"/>
      <c r="F350" s="111">
        <f>ROUND(F347*D350,0)</f>
        <v>2299083</v>
      </c>
    </row>
    <row r="351" spans="1:6" x14ac:dyDescent="0.2">
      <c r="A351" s="77" t="s">
        <v>81</v>
      </c>
      <c r="B351" s="85"/>
      <c r="C351" s="85"/>
      <c r="D351" s="112"/>
      <c r="E351" s="85"/>
      <c r="F351" s="111">
        <f>ROUND(SUM(F347:F350),0)</f>
        <v>61615414</v>
      </c>
    </row>
    <row r="352" spans="1:6" x14ac:dyDescent="0.2">
      <c r="A352" s="77" t="s">
        <v>82</v>
      </c>
      <c r="B352" s="85"/>
      <c r="C352" s="85"/>
      <c r="D352" s="112">
        <v>0.19</v>
      </c>
      <c r="E352" s="85"/>
      <c r="F352" s="111">
        <f>ROUND(F350*D352,0)</f>
        <v>436826</v>
      </c>
    </row>
    <row r="353" spans="1:6" x14ac:dyDescent="0.2">
      <c r="A353" s="88" t="s">
        <v>83</v>
      </c>
      <c r="B353" s="88"/>
      <c r="C353" s="88"/>
      <c r="D353" s="88"/>
      <c r="E353" s="88"/>
      <c r="F353" s="111">
        <f>ROUND(SUM(F351+F352),0)</f>
        <v>62052240</v>
      </c>
    </row>
    <row r="356" spans="1:6" x14ac:dyDescent="0.2">
      <c r="A356" s="632" t="s">
        <v>4</v>
      </c>
      <c r="B356" s="632"/>
      <c r="C356" s="632"/>
      <c r="D356" s="632"/>
      <c r="E356" s="632"/>
      <c r="F356" s="632"/>
    </row>
    <row r="357" spans="1:6" x14ac:dyDescent="0.2">
      <c r="A357" s="627" t="s">
        <v>15</v>
      </c>
      <c r="B357" s="627" t="s">
        <v>16</v>
      </c>
      <c r="C357" s="627" t="s">
        <v>33</v>
      </c>
      <c r="D357" s="627" t="s">
        <v>34</v>
      </c>
      <c r="E357" s="627"/>
      <c r="F357" s="627"/>
    </row>
    <row r="358" spans="1:6" x14ac:dyDescent="0.2">
      <c r="A358" s="627"/>
      <c r="B358" s="627"/>
      <c r="C358" s="627"/>
      <c r="D358" s="113" t="s">
        <v>35</v>
      </c>
      <c r="E358" s="113" t="s">
        <v>36</v>
      </c>
      <c r="F358" s="113" t="s">
        <v>37</v>
      </c>
    </row>
    <row r="359" spans="1:6" x14ac:dyDescent="0.2">
      <c r="A359" s="128">
        <v>1</v>
      </c>
      <c r="B359" s="114" t="s">
        <v>38</v>
      </c>
      <c r="C359" s="627"/>
      <c r="D359" s="627"/>
      <c r="E359" s="627"/>
      <c r="F359" s="115"/>
    </row>
    <row r="360" spans="1:6" ht="25.5" x14ac:dyDescent="0.2">
      <c r="A360" s="116">
        <v>2</v>
      </c>
      <c r="B360" s="127" t="s">
        <v>146</v>
      </c>
      <c r="C360" s="117" t="s">
        <v>22</v>
      </c>
      <c r="D360" s="118">
        <v>96</v>
      </c>
      <c r="E360" s="119">
        <v>4828</v>
      </c>
      <c r="F360" s="231">
        <f t="shared" ref="F360:F390" si="13">ROUND(D360*E360,0)</f>
        <v>463488</v>
      </c>
    </row>
    <row r="361" spans="1:6" ht="25.5" x14ac:dyDescent="0.2">
      <c r="A361" s="128">
        <v>3</v>
      </c>
      <c r="B361" s="127" t="s">
        <v>191</v>
      </c>
      <c r="C361" s="117" t="s">
        <v>27</v>
      </c>
      <c r="D361" s="118">
        <v>576</v>
      </c>
      <c r="E361" s="119">
        <v>8377</v>
      </c>
      <c r="F361" s="231">
        <f t="shared" si="13"/>
        <v>4825152</v>
      </c>
    </row>
    <row r="362" spans="1:6" ht="25.5" x14ac:dyDescent="0.2">
      <c r="A362" s="116">
        <v>4</v>
      </c>
      <c r="B362" s="127" t="s">
        <v>18</v>
      </c>
      <c r="C362" s="117" t="s">
        <v>22</v>
      </c>
      <c r="D362" s="118">
        <v>204</v>
      </c>
      <c r="E362" s="119">
        <v>12600</v>
      </c>
      <c r="F362" s="231">
        <f t="shared" si="13"/>
        <v>2570400</v>
      </c>
    </row>
    <row r="363" spans="1:6" x14ac:dyDescent="0.2">
      <c r="A363" s="128">
        <v>5</v>
      </c>
      <c r="B363" s="123" t="s">
        <v>19</v>
      </c>
      <c r="C363" s="117" t="s">
        <v>45</v>
      </c>
      <c r="D363" s="118">
        <v>2</v>
      </c>
      <c r="E363" s="119">
        <v>143842</v>
      </c>
      <c r="F363" s="231">
        <f t="shared" si="13"/>
        <v>287684</v>
      </c>
    </row>
    <row r="364" spans="1:6" x14ac:dyDescent="0.2">
      <c r="A364" s="116">
        <v>6</v>
      </c>
      <c r="B364" s="123" t="s">
        <v>20</v>
      </c>
      <c r="C364" s="117" t="s">
        <v>45</v>
      </c>
      <c r="D364" s="118">
        <v>1</v>
      </c>
      <c r="E364" s="119">
        <v>728158</v>
      </c>
      <c r="F364" s="231">
        <f t="shared" si="13"/>
        <v>728158</v>
      </c>
    </row>
    <row r="365" spans="1:6" x14ac:dyDescent="0.2">
      <c r="A365" s="128">
        <v>7</v>
      </c>
      <c r="B365" s="114" t="s">
        <v>48</v>
      </c>
      <c r="C365" s="115"/>
      <c r="D365" s="115"/>
      <c r="E365" s="119"/>
      <c r="F365" s="231" t="s">
        <v>0</v>
      </c>
    </row>
    <row r="366" spans="1:6" x14ac:dyDescent="0.2">
      <c r="A366" s="116">
        <v>8</v>
      </c>
      <c r="B366" s="120" t="s">
        <v>111</v>
      </c>
      <c r="C366" s="117" t="s">
        <v>22</v>
      </c>
      <c r="D366" s="118">
        <v>312</v>
      </c>
      <c r="E366" s="119">
        <v>7065</v>
      </c>
      <c r="F366" s="231">
        <f t="shared" si="13"/>
        <v>2204280</v>
      </c>
    </row>
    <row r="367" spans="1:6" ht="38.25" x14ac:dyDescent="0.2">
      <c r="A367" s="128">
        <v>9</v>
      </c>
      <c r="B367" s="127" t="s">
        <v>192</v>
      </c>
      <c r="C367" s="117" t="s">
        <v>302</v>
      </c>
      <c r="D367" s="118">
        <v>24</v>
      </c>
      <c r="E367" s="119">
        <v>77141</v>
      </c>
      <c r="F367" s="231">
        <f t="shared" si="13"/>
        <v>1851384</v>
      </c>
    </row>
    <row r="368" spans="1:6" x14ac:dyDescent="0.2">
      <c r="A368" s="116">
        <v>10</v>
      </c>
      <c r="B368" s="114" t="s">
        <v>51</v>
      </c>
      <c r="C368" s="115"/>
      <c r="D368" s="115"/>
      <c r="E368" s="119"/>
      <c r="F368" s="231" t="s">
        <v>0</v>
      </c>
    </row>
    <row r="369" spans="1:6" x14ac:dyDescent="0.2">
      <c r="A369" s="128">
        <v>11</v>
      </c>
      <c r="B369" s="123" t="s">
        <v>147</v>
      </c>
      <c r="C369" s="117" t="s">
        <v>302</v>
      </c>
      <c r="D369" s="118">
        <v>240</v>
      </c>
      <c r="E369" s="119">
        <v>24368</v>
      </c>
      <c r="F369" s="231">
        <f t="shared" si="13"/>
        <v>5848320</v>
      </c>
    </row>
    <row r="370" spans="1:6" x14ac:dyDescent="0.2">
      <c r="A370" s="116">
        <v>12</v>
      </c>
      <c r="B370" s="123" t="s">
        <v>197</v>
      </c>
      <c r="C370" s="117" t="s">
        <v>22</v>
      </c>
      <c r="D370" s="118">
        <v>20</v>
      </c>
      <c r="E370" s="119">
        <v>28823</v>
      </c>
      <c r="F370" s="231">
        <f t="shared" si="13"/>
        <v>576460</v>
      </c>
    </row>
    <row r="371" spans="1:6" ht="25.5" x14ac:dyDescent="0.2">
      <c r="A371" s="128">
        <v>13</v>
      </c>
      <c r="B371" s="127" t="s">
        <v>21</v>
      </c>
      <c r="C371" s="117" t="s">
        <v>302</v>
      </c>
      <c r="D371" s="118">
        <v>78</v>
      </c>
      <c r="E371" s="119">
        <v>30324</v>
      </c>
      <c r="F371" s="231">
        <f t="shared" si="13"/>
        <v>2365272</v>
      </c>
    </row>
    <row r="372" spans="1:6" x14ac:dyDescent="0.2">
      <c r="A372" s="116">
        <v>14</v>
      </c>
      <c r="B372" s="114" t="s">
        <v>148</v>
      </c>
      <c r="C372" s="115"/>
      <c r="D372" s="115"/>
      <c r="E372" s="119"/>
      <c r="F372" s="231" t="s">
        <v>0</v>
      </c>
    </row>
    <row r="373" spans="1:6" ht="25.5" x14ac:dyDescent="0.2">
      <c r="A373" s="128">
        <v>15</v>
      </c>
      <c r="B373" s="127" t="s">
        <v>644</v>
      </c>
      <c r="C373" s="117" t="s">
        <v>22</v>
      </c>
      <c r="D373" s="118">
        <v>96</v>
      </c>
      <c r="E373" s="119">
        <f>12*1835</f>
        <v>22020</v>
      </c>
      <c r="F373" s="231">
        <f t="shared" si="13"/>
        <v>2113920</v>
      </c>
    </row>
    <row r="374" spans="1:6" ht="38.25" x14ac:dyDescent="0.2">
      <c r="A374" s="116">
        <v>16</v>
      </c>
      <c r="B374" s="233" t="s">
        <v>149</v>
      </c>
      <c r="C374" s="117" t="s">
        <v>22</v>
      </c>
      <c r="D374" s="118">
        <v>0.5</v>
      </c>
      <c r="E374" s="119">
        <v>590196</v>
      </c>
      <c r="F374" s="231">
        <f t="shared" si="13"/>
        <v>295098</v>
      </c>
    </row>
    <row r="375" spans="1:6" ht="51.75" customHeight="1" x14ac:dyDescent="0.2">
      <c r="A375" s="128">
        <v>17</v>
      </c>
      <c r="B375" s="121" t="s">
        <v>198</v>
      </c>
      <c r="C375" s="117" t="s">
        <v>116</v>
      </c>
      <c r="D375" s="118">
        <v>1</v>
      </c>
      <c r="E375" s="119">
        <v>680000</v>
      </c>
      <c r="F375" s="231">
        <f t="shared" si="13"/>
        <v>680000</v>
      </c>
    </row>
    <row r="376" spans="1:6" x14ac:dyDescent="0.2">
      <c r="A376" s="116">
        <v>18</v>
      </c>
      <c r="B376" s="123" t="s">
        <v>151</v>
      </c>
      <c r="C376" s="117" t="s">
        <v>116</v>
      </c>
      <c r="D376" s="118">
        <v>2</v>
      </c>
      <c r="E376" s="119">
        <v>500414</v>
      </c>
      <c r="F376" s="231">
        <f t="shared" si="13"/>
        <v>1000828</v>
      </c>
    </row>
    <row r="377" spans="1:6" ht="25.5" x14ac:dyDescent="0.2">
      <c r="A377" s="128">
        <v>19</v>
      </c>
      <c r="B377" s="121" t="s">
        <v>23</v>
      </c>
      <c r="C377" s="117" t="s">
        <v>22</v>
      </c>
      <c r="D377" s="118">
        <v>60</v>
      </c>
      <c r="E377" s="119">
        <v>12780</v>
      </c>
      <c r="F377" s="231">
        <f t="shared" si="13"/>
        <v>766800</v>
      </c>
    </row>
    <row r="378" spans="1:6" ht="25.5" x14ac:dyDescent="0.2">
      <c r="A378" s="116">
        <v>20</v>
      </c>
      <c r="B378" s="127" t="s">
        <v>24</v>
      </c>
      <c r="C378" s="117" t="s">
        <v>45</v>
      </c>
      <c r="D378" s="118">
        <v>15</v>
      </c>
      <c r="E378" s="119">
        <v>370202</v>
      </c>
      <c r="F378" s="231">
        <f t="shared" si="13"/>
        <v>5553030</v>
      </c>
    </row>
    <row r="379" spans="1:6" x14ac:dyDescent="0.2">
      <c r="A379" s="128">
        <v>21</v>
      </c>
      <c r="B379" s="123" t="s">
        <v>194</v>
      </c>
      <c r="C379" s="117" t="s">
        <v>45</v>
      </c>
      <c r="D379" s="118">
        <v>15</v>
      </c>
      <c r="E379" s="119">
        <v>40262</v>
      </c>
      <c r="F379" s="231">
        <f t="shared" si="13"/>
        <v>603930</v>
      </c>
    </row>
    <row r="380" spans="1:6" x14ac:dyDescent="0.2">
      <c r="A380" s="116">
        <v>22</v>
      </c>
      <c r="B380" s="123" t="s">
        <v>152</v>
      </c>
      <c r="C380" s="117" t="s">
        <v>45</v>
      </c>
      <c r="D380" s="118">
        <v>4</v>
      </c>
      <c r="E380" s="119">
        <v>83623</v>
      </c>
      <c r="F380" s="231">
        <f t="shared" si="13"/>
        <v>334492</v>
      </c>
    </row>
    <row r="381" spans="1:6" x14ac:dyDescent="0.2">
      <c r="A381" s="128">
        <v>23</v>
      </c>
      <c r="B381" s="114" t="s">
        <v>120</v>
      </c>
      <c r="C381" s="115"/>
      <c r="D381" s="115"/>
      <c r="E381" s="119"/>
      <c r="F381" s="231" t="s">
        <v>0</v>
      </c>
    </row>
    <row r="382" spans="1:6" x14ac:dyDescent="0.2">
      <c r="A382" s="116">
        <v>24</v>
      </c>
      <c r="B382" s="123" t="s">
        <v>25</v>
      </c>
      <c r="C382" s="117" t="s">
        <v>302</v>
      </c>
      <c r="D382" s="118">
        <v>15</v>
      </c>
      <c r="E382" s="119">
        <v>111720</v>
      </c>
      <c r="F382" s="231">
        <f t="shared" si="13"/>
        <v>1675800</v>
      </c>
    </row>
    <row r="383" spans="1:6" ht="25.5" x14ac:dyDescent="0.2">
      <c r="A383" s="128">
        <v>25</v>
      </c>
      <c r="B383" s="127" t="s">
        <v>121</v>
      </c>
      <c r="C383" s="117" t="s">
        <v>302</v>
      </c>
      <c r="D383" s="118">
        <v>184</v>
      </c>
      <c r="E383" s="119">
        <v>20492</v>
      </c>
      <c r="F383" s="231">
        <f t="shared" si="13"/>
        <v>3770528</v>
      </c>
    </row>
    <row r="384" spans="1:6" x14ac:dyDescent="0.2">
      <c r="A384" s="116">
        <v>26</v>
      </c>
      <c r="B384" s="123" t="s">
        <v>153</v>
      </c>
      <c r="C384" s="117" t="s">
        <v>302</v>
      </c>
      <c r="D384" s="118">
        <v>32.1</v>
      </c>
      <c r="E384" s="119">
        <v>134118</v>
      </c>
      <c r="F384" s="231">
        <f t="shared" si="13"/>
        <v>4305188</v>
      </c>
    </row>
    <row r="385" spans="1:6" x14ac:dyDescent="0.2">
      <c r="A385" s="128">
        <v>27</v>
      </c>
      <c r="B385" s="114" t="s">
        <v>123</v>
      </c>
      <c r="C385" s="115"/>
      <c r="D385" s="115"/>
      <c r="E385" s="119"/>
      <c r="F385" s="231" t="s">
        <v>0</v>
      </c>
    </row>
    <row r="386" spans="1:6" ht="25.5" x14ac:dyDescent="0.2">
      <c r="A386" s="116">
        <v>28</v>
      </c>
      <c r="B386" s="127" t="s">
        <v>154</v>
      </c>
      <c r="C386" s="117" t="s">
        <v>302</v>
      </c>
      <c r="D386" s="118">
        <v>1</v>
      </c>
      <c r="E386" s="119">
        <v>560630</v>
      </c>
      <c r="F386" s="231">
        <f t="shared" si="13"/>
        <v>560630</v>
      </c>
    </row>
    <row r="387" spans="1:6" ht="25.5" x14ac:dyDescent="0.2">
      <c r="A387" s="128">
        <v>29</v>
      </c>
      <c r="B387" s="127" t="s">
        <v>195</v>
      </c>
      <c r="C387" s="117" t="s">
        <v>302</v>
      </c>
      <c r="D387" s="118">
        <v>24</v>
      </c>
      <c r="E387" s="119">
        <v>761360</v>
      </c>
      <c r="F387" s="231">
        <f t="shared" si="13"/>
        <v>18272640</v>
      </c>
    </row>
    <row r="388" spans="1:6" x14ac:dyDescent="0.2">
      <c r="A388" s="116">
        <v>30</v>
      </c>
      <c r="B388" s="114" t="s">
        <v>74</v>
      </c>
      <c r="C388" s="115"/>
      <c r="D388" s="115"/>
      <c r="E388" s="119"/>
      <c r="F388" s="231" t="s">
        <v>0</v>
      </c>
    </row>
    <row r="389" spans="1:6" x14ac:dyDescent="0.2">
      <c r="A389" s="128">
        <v>31</v>
      </c>
      <c r="B389" s="123" t="s">
        <v>171</v>
      </c>
      <c r="C389" s="117" t="s">
        <v>136</v>
      </c>
      <c r="D389" s="118">
        <v>36</v>
      </c>
      <c r="E389" s="119">
        <v>5484</v>
      </c>
      <c r="F389" s="231">
        <f t="shared" si="13"/>
        <v>197424</v>
      </c>
    </row>
    <row r="390" spans="1:6" ht="25.5" x14ac:dyDescent="0.2">
      <c r="A390" s="116">
        <v>32</v>
      </c>
      <c r="B390" s="127" t="s">
        <v>137</v>
      </c>
      <c r="C390" s="117" t="s">
        <v>99</v>
      </c>
      <c r="D390" s="118">
        <v>1.25</v>
      </c>
      <c r="E390" s="119">
        <v>1549202</v>
      </c>
      <c r="F390" s="231">
        <f t="shared" si="13"/>
        <v>1936503</v>
      </c>
    </row>
    <row r="391" spans="1:6" x14ac:dyDescent="0.2">
      <c r="A391" s="128"/>
      <c r="B391" s="114" t="s">
        <v>30</v>
      </c>
      <c r="C391" s="113"/>
      <c r="D391" s="124"/>
      <c r="E391" s="125"/>
      <c r="F391" s="125">
        <f>ROUND(SUM(F360:F390),0)</f>
        <v>63787409</v>
      </c>
    </row>
    <row r="392" spans="1:6" x14ac:dyDescent="0.2">
      <c r="A392" s="126"/>
      <c r="B392" s="126"/>
      <c r="C392" s="126"/>
      <c r="D392" s="126"/>
      <c r="E392" s="126"/>
      <c r="F392" s="126"/>
    </row>
    <row r="393" spans="1:6" x14ac:dyDescent="0.2">
      <c r="A393" s="77" t="s">
        <v>78</v>
      </c>
      <c r="B393" s="109"/>
      <c r="C393" s="109"/>
      <c r="D393" s="109"/>
      <c r="E393" s="109"/>
      <c r="F393" s="111">
        <f>ROUND(F391/1.3495,0)</f>
        <v>47267439</v>
      </c>
    </row>
    <row r="394" spans="1:6" x14ac:dyDescent="0.2">
      <c r="A394" s="77" t="s">
        <v>79</v>
      </c>
      <c r="B394" s="109"/>
      <c r="C394" s="109"/>
      <c r="D394" s="112">
        <v>0.24</v>
      </c>
      <c r="E394" s="109"/>
      <c r="F394" s="111">
        <f>ROUND(F393*D394,0)</f>
        <v>11344185</v>
      </c>
    </row>
    <row r="395" spans="1:6" x14ac:dyDescent="0.2">
      <c r="A395" s="77" t="s">
        <v>32</v>
      </c>
      <c r="B395" s="109"/>
      <c r="C395" s="109"/>
      <c r="D395" s="112">
        <v>0.05</v>
      </c>
      <c r="E395" s="109"/>
      <c r="F395" s="111">
        <f>ROUND(F393*D395,0)</f>
        <v>2363372</v>
      </c>
    </row>
    <row r="396" spans="1:6" x14ac:dyDescent="0.2">
      <c r="A396" s="77" t="s">
        <v>80</v>
      </c>
      <c r="B396" s="85"/>
      <c r="C396" s="85"/>
      <c r="D396" s="112">
        <v>0.05</v>
      </c>
      <c r="E396" s="85"/>
      <c r="F396" s="111">
        <f>ROUND(F393*D396,0)</f>
        <v>2363372</v>
      </c>
    </row>
    <row r="397" spans="1:6" x14ac:dyDescent="0.2">
      <c r="A397" s="77" t="s">
        <v>81</v>
      </c>
      <c r="B397" s="85"/>
      <c r="C397" s="85"/>
      <c r="D397" s="112"/>
      <c r="E397" s="85"/>
      <c r="F397" s="111">
        <f>ROUND(SUM(F393:F396),0)</f>
        <v>63338368</v>
      </c>
    </row>
    <row r="398" spans="1:6" x14ac:dyDescent="0.2">
      <c r="A398" s="77" t="s">
        <v>82</v>
      </c>
      <c r="B398" s="85"/>
      <c r="C398" s="85"/>
      <c r="D398" s="112">
        <v>0.19</v>
      </c>
      <c r="E398" s="85"/>
      <c r="F398" s="111">
        <f>ROUND(F396*D398,0)</f>
        <v>449041</v>
      </c>
    </row>
    <row r="399" spans="1:6" x14ac:dyDescent="0.2">
      <c r="A399" s="88" t="s">
        <v>83</v>
      </c>
      <c r="B399" s="88"/>
      <c r="C399" s="88"/>
      <c r="D399" s="88"/>
      <c r="E399" s="88"/>
      <c r="F399" s="111">
        <f>ROUND(SUM(F397+F398),0)</f>
        <v>63787409</v>
      </c>
    </row>
    <row r="402" spans="1:6" x14ac:dyDescent="0.2">
      <c r="A402" s="632" t="s">
        <v>5</v>
      </c>
      <c r="B402" s="632"/>
      <c r="C402" s="632"/>
      <c r="D402" s="632"/>
      <c r="E402" s="632"/>
      <c r="F402" s="632"/>
    </row>
    <row r="403" spans="1:6" x14ac:dyDescent="0.2">
      <c r="A403" s="627" t="s">
        <v>15</v>
      </c>
      <c r="B403" s="627" t="s">
        <v>16</v>
      </c>
      <c r="C403" s="627" t="s">
        <v>33</v>
      </c>
      <c r="D403" s="627" t="s">
        <v>34</v>
      </c>
      <c r="E403" s="627"/>
      <c r="F403" s="627"/>
    </row>
    <row r="404" spans="1:6" x14ac:dyDescent="0.2">
      <c r="A404" s="627"/>
      <c r="B404" s="627"/>
      <c r="C404" s="627"/>
      <c r="D404" s="113" t="s">
        <v>35</v>
      </c>
      <c r="E404" s="113" t="s">
        <v>36</v>
      </c>
      <c r="F404" s="113" t="s">
        <v>37</v>
      </c>
    </row>
    <row r="405" spans="1:6" x14ac:dyDescent="0.2">
      <c r="A405" s="128">
        <v>1</v>
      </c>
      <c r="B405" s="114" t="s">
        <v>38</v>
      </c>
      <c r="C405" s="627"/>
      <c r="D405" s="627"/>
      <c r="E405" s="627"/>
      <c r="F405" s="115"/>
    </row>
    <row r="406" spans="1:6" ht="25.5" x14ac:dyDescent="0.2">
      <c r="A406" s="116">
        <v>2</v>
      </c>
      <c r="B406" s="127" t="s">
        <v>108</v>
      </c>
      <c r="C406" s="117" t="s">
        <v>22</v>
      </c>
      <c r="D406" s="118">
        <v>96</v>
      </c>
      <c r="E406" s="230">
        <v>4843</v>
      </c>
      <c r="F406" s="231">
        <f t="shared" ref="F406:F431" si="14">ROUND(D406*E406,0)</f>
        <v>464928</v>
      </c>
    </row>
    <row r="407" spans="1:6" ht="25.5" x14ac:dyDescent="0.2">
      <c r="A407" s="128">
        <v>3</v>
      </c>
      <c r="B407" s="234" t="s">
        <v>18</v>
      </c>
      <c r="C407" s="117" t="s">
        <v>22</v>
      </c>
      <c r="D407" s="118">
        <v>204</v>
      </c>
      <c r="E407" s="119">
        <v>12600</v>
      </c>
      <c r="F407" s="231">
        <f t="shared" si="14"/>
        <v>2570400</v>
      </c>
    </row>
    <row r="408" spans="1:6" x14ac:dyDescent="0.2">
      <c r="A408" s="116">
        <v>4</v>
      </c>
      <c r="B408" s="123" t="s">
        <v>19</v>
      </c>
      <c r="C408" s="117" t="s">
        <v>45</v>
      </c>
      <c r="D408" s="118">
        <v>2</v>
      </c>
      <c r="E408" s="230">
        <v>144273</v>
      </c>
      <c r="F408" s="231">
        <f t="shared" si="14"/>
        <v>288546</v>
      </c>
    </row>
    <row r="409" spans="1:6" x14ac:dyDescent="0.2">
      <c r="A409" s="128">
        <v>5</v>
      </c>
      <c r="B409" s="123" t="s">
        <v>110</v>
      </c>
      <c r="C409" s="117" t="s">
        <v>45</v>
      </c>
      <c r="D409" s="118">
        <v>1</v>
      </c>
      <c r="E409" s="230">
        <v>730341</v>
      </c>
      <c r="F409" s="231">
        <f t="shared" si="14"/>
        <v>730341</v>
      </c>
    </row>
    <row r="410" spans="1:6" x14ac:dyDescent="0.2">
      <c r="A410" s="116">
        <v>6</v>
      </c>
      <c r="B410" s="114" t="s">
        <v>48</v>
      </c>
      <c r="C410" s="115"/>
      <c r="D410" s="115"/>
      <c r="E410" s="230"/>
      <c r="F410" s="231" t="s">
        <v>0</v>
      </c>
    </row>
    <row r="411" spans="1:6" x14ac:dyDescent="0.2">
      <c r="A411" s="128">
        <v>7</v>
      </c>
      <c r="B411" s="147" t="s">
        <v>111</v>
      </c>
      <c r="C411" s="117" t="s">
        <v>22</v>
      </c>
      <c r="D411" s="118">
        <v>624</v>
      </c>
      <c r="E411" s="230">
        <v>7086</v>
      </c>
      <c r="F411" s="231">
        <f t="shared" si="14"/>
        <v>4421664</v>
      </c>
    </row>
    <row r="412" spans="1:6" ht="38.25" x14ac:dyDescent="0.2">
      <c r="A412" s="116">
        <v>8</v>
      </c>
      <c r="B412" s="127" t="s">
        <v>112</v>
      </c>
      <c r="C412" s="117" t="s">
        <v>302</v>
      </c>
      <c r="D412" s="118">
        <v>22</v>
      </c>
      <c r="E412" s="230">
        <v>77371</v>
      </c>
      <c r="F412" s="231">
        <f t="shared" si="14"/>
        <v>1702162</v>
      </c>
    </row>
    <row r="413" spans="1:6" x14ac:dyDescent="0.2">
      <c r="A413" s="128">
        <v>9</v>
      </c>
      <c r="B413" s="114" t="s">
        <v>51</v>
      </c>
      <c r="C413" s="115"/>
      <c r="D413" s="115"/>
      <c r="E413" s="230"/>
      <c r="F413" s="231" t="s">
        <v>0</v>
      </c>
    </row>
    <row r="414" spans="1:6" x14ac:dyDescent="0.2">
      <c r="A414" s="116">
        <v>10</v>
      </c>
      <c r="B414" s="123" t="s">
        <v>113</v>
      </c>
      <c r="C414" s="117" t="s">
        <v>302</v>
      </c>
      <c r="D414" s="118">
        <v>102</v>
      </c>
      <c r="E414" s="230">
        <v>24440</v>
      </c>
      <c r="F414" s="231">
        <f t="shared" si="14"/>
        <v>2492880</v>
      </c>
    </row>
    <row r="415" spans="1:6" ht="25.5" x14ac:dyDescent="0.2">
      <c r="A415" s="128">
        <v>11</v>
      </c>
      <c r="B415" s="127" t="s">
        <v>21</v>
      </c>
      <c r="C415" s="117" t="s">
        <v>302</v>
      </c>
      <c r="D415" s="118">
        <v>64</v>
      </c>
      <c r="E415" s="230">
        <v>30415</v>
      </c>
      <c r="F415" s="231">
        <f t="shared" si="14"/>
        <v>1946560</v>
      </c>
    </row>
    <row r="416" spans="1:6" x14ac:dyDescent="0.2">
      <c r="A416" s="116">
        <v>12</v>
      </c>
      <c r="B416" s="114" t="s">
        <v>114</v>
      </c>
      <c r="C416" s="115"/>
      <c r="D416" s="115"/>
      <c r="E416" s="230"/>
      <c r="F416" s="231" t="s">
        <v>0</v>
      </c>
    </row>
    <row r="417" spans="1:6" x14ac:dyDescent="0.2">
      <c r="A417" s="128">
        <v>13</v>
      </c>
      <c r="B417" s="123" t="s">
        <v>199</v>
      </c>
      <c r="C417" s="117" t="s">
        <v>22</v>
      </c>
      <c r="D417" s="118">
        <v>96</v>
      </c>
      <c r="E417" s="230">
        <f>1835*8</f>
        <v>14680</v>
      </c>
      <c r="F417" s="231">
        <f t="shared" si="14"/>
        <v>1409280</v>
      </c>
    </row>
    <row r="418" spans="1:6" ht="25.5" x14ac:dyDescent="0.2">
      <c r="A418" s="116">
        <v>14</v>
      </c>
      <c r="B418" s="127" t="s">
        <v>115</v>
      </c>
      <c r="C418" s="117" t="s">
        <v>116</v>
      </c>
      <c r="D418" s="118">
        <v>35</v>
      </c>
      <c r="E418" s="230">
        <v>38925</v>
      </c>
      <c r="F418" s="231">
        <f t="shared" si="14"/>
        <v>1362375</v>
      </c>
    </row>
    <row r="419" spans="1:6" x14ac:dyDescent="0.2">
      <c r="A419" s="128">
        <v>15</v>
      </c>
      <c r="B419" s="122" t="s">
        <v>203</v>
      </c>
      <c r="C419" s="117" t="s">
        <v>116</v>
      </c>
      <c r="D419" s="118">
        <v>1</v>
      </c>
      <c r="E419" s="230">
        <v>194622</v>
      </c>
      <c r="F419" s="231">
        <f t="shared" si="14"/>
        <v>194622</v>
      </c>
    </row>
    <row r="420" spans="1:6" ht="38.25" x14ac:dyDescent="0.2">
      <c r="A420" s="116">
        <v>16</v>
      </c>
      <c r="B420" s="127" t="s">
        <v>688</v>
      </c>
      <c r="C420" s="117" t="s">
        <v>116</v>
      </c>
      <c r="D420" s="118">
        <v>1</v>
      </c>
      <c r="E420" s="230">
        <v>320000</v>
      </c>
      <c r="F420" s="231">
        <f t="shared" si="14"/>
        <v>320000</v>
      </c>
    </row>
    <row r="421" spans="1:6" x14ac:dyDescent="0.2">
      <c r="A421" s="128">
        <v>17</v>
      </c>
      <c r="B421" s="123" t="s">
        <v>142</v>
      </c>
      <c r="C421" s="117" t="s">
        <v>45</v>
      </c>
      <c r="D421" s="118">
        <v>4</v>
      </c>
      <c r="E421" s="230">
        <v>83874</v>
      </c>
      <c r="F421" s="231">
        <f t="shared" si="14"/>
        <v>335496</v>
      </c>
    </row>
    <row r="422" spans="1:6" x14ac:dyDescent="0.2">
      <c r="A422" s="116">
        <v>18</v>
      </c>
      <c r="B422" s="114" t="s">
        <v>120</v>
      </c>
      <c r="C422" s="115"/>
      <c r="D422" s="115"/>
      <c r="E422" s="230"/>
      <c r="F422" s="231" t="s">
        <v>0</v>
      </c>
    </row>
    <row r="423" spans="1:6" x14ac:dyDescent="0.2">
      <c r="A423" s="128">
        <v>19</v>
      </c>
      <c r="B423" s="123" t="s">
        <v>25</v>
      </c>
      <c r="C423" s="117" t="s">
        <v>302</v>
      </c>
      <c r="D423" s="118">
        <v>11</v>
      </c>
      <c r="E423" s="230">
        <v>112055</v>
      </c>
      <c r="F423" s="231">
        <f t="shared" si="14"/>
        <v>1232605</v>
      </c>
    </row>
    <row r="424" spans="1:6" ht="25.5" x14ac:dyDescent="0.2">
      <c r="A424" s="116">
        <v>20</v>
      </c>
      <c r="B424" s="127" t="s">
        <v>121</v>
      </c>
      <c r="C424" s="117" t="s">
        <v>302</v>
      </c>
      <c r="D424" s="118">
        <v>59</v>
      </c>
      <c r="E424" s="230">
        <v>20553</v>
      </c>
      <c r="F424" s="231">
        <f t="shared" si="14"/>
        <v>1212627</v>
      </c>
    </row>
    <row r="425" spans="1:6" x14ac:dyDescent="0.2">
      <c r="A425" s="128">
        <v>21</v>
      </c>
      <c r="B425" s="123" t="s">
        <v>143</v>
      </c>
      <c r="C425" s="117" t="s">
        <v>302</v>
      </c>
      <c r="D425" s="118">
        <v>30</v>
      </c>
      <c r="E425" s="230">
        <v>134520</v>
      </c>
      <c r="F425" s="231">
        <f t="shared" si="14"/>
        <v>4035600</v>
      </c>
    </row>
    <row r="426" spans="1:6" x14ac:dyDescent="0.2">
      <c r="A426" s="116">
        <v>22</v>
      </c>
      <c r="B426" s="114" t="s">
        <v>123</v>
      </c>
      <c r="C426" s="115"/>
      <c r="D426" s="115"/>
      <c r="E426" s="230"/>
      <c r="F426" s="231" t="s">
        <v>0</v>
      </c>
    </row>
    <row r="427" spans="1:6" ht="25.5" x14ac:dyDescent="0.2">
      <c r="A427" s="128">
        <v>23</v>
      </c>
      <c r="B427" s="127" t="s">
        <v>72</v>
      </c>
      <c r="C427" s="117" t="s">
        <v>302</v>
      </c>
      <c r="D427" s="118">
        <v>1</v>
      </c>
      <c r="E427" s="230">
        <v>562312</v>
      </c>
      <c r="F427" s="231">
        <f t="shared" si="14"/>
        <v>562312</v>
      </c>
    </row>
    <row r="428" spans="1:6" x14ac:dyDescent="0.2">
      <c r="A428" s="116">
        <v>24</v>
      </c>
      <c r="B428" s="123" t="s">
        <v>647</v>
      </c>
      <c r="C428" s="117" t="s">
        <v>302</v>
      </c>
      <c r="D428" s="118">
        <v>22</v>
      </c>
      <c r="E428" s="230">
        <v>763644</v>
      </c>
      <c r="F428" s="231">
        <f t="shared" si="14"/>
        <v>16800168</v>
      </c>
    </row>
    <row r="429" spans="1:6" x14ac:dyDescent="0.2">
      <c r="A429" s="128">
        <v>25</v>
      </c>
      <c r="B429" s="114" t="s">
        <v>74</v>
      </c>
      <c r="C429" s="115"/>
      <c r="D429" s="115"/>
      <c r="E429" s="230"/>
      <c r="F429" s="231" t="s">
        <v>0</v>
      </c>
    </row>
    <row r="430" spans="1:6" x14ac:dyDescent="0.2">
      <c r="A430" s="116">
        <v>26</v>
      </c>
      <c r="B430" s="123" t="s">
        <v>135</v>
      </c>
      <c r="C430" s="117" t="s">
        <v>136</v>
      </c>
      <c r="D430" s="118">
        <v>36</v>
      </c>
      <c r="E430" s="230">
        <v>5484</v>
      </c>
      <c r="F430" s="231">
        <f t="shared" si="14"/>
        <v>197424</v>
      </c>
    </row>
    <row r="431" spans="1:6" ht="25.5" x14ac:dyDescent="0.2">
      <c r="A431" s="128">
        <v>27</v>
      </c>
      <c r="B431" s="127" t="s">
        <v>137</v>
      </c>
      <c r="C431" s="117" t="s">
        <v>99</v>
      </c>
      <c r="D431" s="118">
        <v>1.25</v>
      </c>
      <c r="E431" s="230">
        <v>1351875</v>
      </c>
      <c r="F431" s="231">
        <f t="shared" si="14"/>
        <v>1689844</v>
      </c>
    </row>
    <row r="432" spans="1:6" x14ac:dyDescent="0.2">
      <c r="A432" s="128"/>
      <c r="B432" s="114" t="s">
        <v>30</v>
      </c>
      <c r="C432" s="113"/>
      <c r="D432" s="124"/>
      <c r="E432" s="152"/>
      <c r="F432" s="125">
        <f>ROUND(SUM(F401:F431),0)</f>
        <v>43969834</v>
      </c>
    </row>
    <row r="433" spans="1:6" x14ac:dyDescent="0.2">
      <c r="A433" s="126"/>
      <c r="B433" s="126"/>
      <c r="C433" s="126"/>
      <c r="D433" s="126"/>
      <c r="E433" s="126"/>
      <c r="F433" s="126"/>
    </row>
    <row r="434" spans="1:6" x14ac:dyDescent="0.2">
      <c r="A434" s="77" t="s">
        <v>78</v>
      </c>
      <c r="B434" s="109"/>
      <c r="C434" s="109"/>
      <c r="D434" s="109"/>
      <c r="E434" s="109"/>
      <c r="F434" s="111">
        <f>ROUND(F432/1.3495,0)</f>
        <v>32582315</v>
      </c>
    </row>
    <row r="435" spans="1:6" x14ac:dyDescent="0.2">
      <c r="A435" s="77" t="s">
        <v>79</v>
      </c>
      <c r="B435" s="109"/>
      <c r="C435" s="109"/>
      <c r="D435" s="112">
        <v>0.24</v>
      </c>
      <c r="E435" s="109"/>
      <c r="F435" s="111">
        <f>ROUND(F434*D435,0)</f>
        <v>7819756</v>
      </c>
    </row>
    <row r="436" spans="1:6" x14ac:dyDescent="0.2">
      <c r="A436" s="77" t="s">
        <v>32</v>
      </c>
      <c r="B436" s="109"/>
      <c r="C436" s="109"/>
      <c r="D436" s="112">
        <v>0.05</v>
      </c>
      <c r="E436" s="109"/>
      <c r="F436" s="111">
        <f>ROUND(F434*D436,0)</f>
        <v>1629116</v>
      </c>
    </row>
    <row r="437" spans="1:6" x14ac:dyDescent="0.2">
      <c r="A437" s="77" t="s">
        <v>80</v>
      </c>
      <c r="B437" s="85"/>
      <c r="C437" s="85"/>
      <c r="D437" s="112">
        <v>0.05</v>
      </c>
      <c r="E437" s="85"/>
      <c r="F437" s="111">
        <f>ROUND(F434*D437,0)</f>
        <v>1629116</v>
      </c>
    </row>
    <row r="438" spans="1:6" x14ac:dyDescent="0.2">
      <c r="A438" s="77" t="s">
        <v>81</v>
      </c>
      <c r="B438" s="85"/>
      <c r="C438" s="85"/>
      <c r="D438" s="112"/>
      <c r="E438" s="85"/>
      <c r="F438" s="111">
        <f>ROUND(SUM(F434:F437),0)</f>
        <v>43660303</v>
      </c>
    </row>
    <row r="439" spans="1:6" x14ac:dyDescent="0.2">
      <c r="A439" s="77" t="s">
        <v>82</v>
      </c>
      <c r="B439" s="85"/>
      <c r="C439" s="85"/>
      <c r="D439" s="112">
        <v>0.19</v>
      </c>
      <c r="E439" s="85"/>
      <c r="F439" s="111">
        <f>ROUND(F437*D439,0)</f>
        <v>309532</v>
      </c>
    </row>
    <row r="440" spans="1:6" x14ac:dyDescent="0.2">
      <c r="A440" s="88" t="s">
        <v>83</v>
      </c>
      <c r="B440" s="88"/>
      <c r="C440" s="88"/>
      <c r="D440" s="88"/>
      <c r="E440" s="88"/>
      <c r="F440" s="111">
        <f>ROUND(SUM(F438+F439),0)</f>
        <v>43969835</v>
      </c>
    </row>
    <row r="443" spans="1:6" x14ac:dyDescent="0.2">
      <c r="A443" s="632" t="s">
        <v>6</v>
      </c>
      <c r="B443" s="632"/>
      <c r="C443" s="632"/>
      <c r="D443" s="632"/>
      <c r="E443" s="632"/>
      <c r="F443" s="632"/>
    </row>
    <row r="444" spans="1:6" x14ac:dyDescent="0.2">
      <c r="A444" s="627" t="s">
        <v>15</v>
      </c>
      <c r="B444" s="627" t="s">
        <v>16</v>
      </c>
      <c r="C444" s="627" t="s">
        <v>33</v>
      </c>
      <c r="D444" s="627" t="s">
        <v>34</v>
      </c>
      <c r="E444" s="627"/>
      <c r="F444" s="627"/>
    </row>
    <row r="445" spans="1:6" x14ac:dyDescent="0.2">
      <c r="A445" s="627"/>
      <c r="B445" s="627"/>
      <c r="C445" s="627"/>
      <c r="D445" s="113" t="s">
        <v>35</v>
      </c>
      <c r="E445" s="113" t="s">
        <v>36</v>
      </c>
      <c r="F445" s="113" t="s">
        <v>37</v>
      </c>
    </row>
    <row r="446" spans="1:6" x14ac:dyDescent="0.2">
      <c r="A446" s="128">
        <v>1</v>
      </c>
      <c r="B446" s="114" t="s">
        <v>38</v>
      </c>
      <c r="C446" s="627"/>
      <c r="D446" s="627"/>
      <c r="E446" s="627"/>
      <c r="F446" s="115"/>
    </row>
    <row r="447" spans="1:6" ht="34.5" customHeight="1" x14ac:dyDescent="0.2">
      <c r="A447" s="116">
        <v>2</v>
      </c>
      <c r="B447" s="127" t="s">
        <v>108</v>
      </c>
      <c r="C447" s="117" t="s">
        <v>22</v>
      </c>
      <c r="D447" s="118">
        <v>96</v>
      </c>
      <c r="E447" s="230">
        <v>4843</v>
      </c>
      <c r="F447" s="231">
        <f>ROUND(D447*E447,0)</f>
        <v>464928</v>
      </c>
    </row>
    <row r="448" spans="1:6" ht="25.5" x14ac:dyDescent="0.2">
      <c r="A448" s="128">
        <v>3</v>
      </c>
      <c r="B448" s="121" t="s">
        <v>18</v>
      </c>
      <c r="C448" s="117" t="s">
        <v>22</v>
      </c>
      <c r="D448" s="118">
        <v>204</v>
      </c>
      <c r="E448" s="119">
        <v>12600</v>
      </c>
      <c r="F448" s="231">
        <f t="shared" ref="F448:F471" si="15">ROUND(D448*E448,0)</f>
        <v>2570400</v>
      </c>
    </row>
    <row r="449" spans="1:6" x14ac:dyDescent="0.2">
      <c r="A449" s="116">
        <v>4</v>
      </c>
      <c r="B449" s="123" t="s">
        <v>19</v>
      </c>
      <c r="C449" s="117" t="s">
        <v>45</v>
      </c>
      <c r="D449" s="118">
        <v>2</v>
      </c>
      <c r="E449" s="230">
        <v>144273</v>
      </c>
      <c r="F449" s="231">
        <f t="shared" si="15"/>
        <v>288546</v>
      </c>
    </row>
    <row r="450" spans="1:6" ht="21" customHeight="1" x14ac:dyDescent="0.2">
      <c r="A450" s="128">
        <v>5</v>
      </c>
      <c r="B450" s="121" t="s">
        <v>110</v>
      </c>
      <c r="C450" s="117" t="s">
        <v>45</v>
      </c>
      <c r="D450" s="118">
        <v>1</v>
      </c>
      <c r="E450" s="230">
        <v>730341</v>
      </c>
      <c r="F450" s="231">
        <f t="shared" si="15"/>
        <v>730341</v>
      </c>
    </row>
    <row r="451" spans="1:6" x14ac:dyDescent="0.2">
      <c r="A451" s="116">
        <v>6</v>
      </c>
      <c r="B451" s="114" t="s">
        <v>48</v>
      </c>
      <c r="C451" s="115"/>
      <c r="D451" s="115"/>
      <c r="E451" s="230"/>
      <c r="F451" s="231" t="s">
        <v>0</v>
      </c>
    </row>
    <row r="452" spans="1:6" x14ac:dyDescent="0.2">
      <c r="A452" s="128">
        <v>7</v>
      </c>
      <c r="B452" s="120" t="s">
        <v>111</v>
      </c>
      <c r="C452" s="117" t="s">
        <v>22</v>
      </c>
      <c r="D452" s="118">
        <v>430</v>
      </c>
      <c r="E452" s="230">
        <v>7086</v>
      </c>
      <c r="F452" s="231">
        <f t="shared" si="15"/>
        <v>3046980</v>
      </c>
    </row>
    <row r="453" spans="1:6" ht="39.75" customHeight="1" x14ac:dyDescent="0.2">
      <c r="A453" s="116">
        <v>8</v>
      </c>
      <c r="B453" s="127" t="s">
        <v>112</v>
      </c>
      <c r="C453" s="117" t="s">
        <v>302</v>
      </c>
      <c r="D453" s="118">
        <v>15</v>
      </c>
      <c r="E453" s="230">
        <v>77371</v>
      </c>
      <c r="F453" s="231">
        <f t="shared" si="15"/>
        <v>1160565</v>
      </c>
    </row>
    <row r="454" spans="1:6" x14ac:dyDescent="0.2">
      <c r="A454" s="128">
        <v>9</v>
      </c>
      <c r="B454" s="114" t="s">
        <v>51</v>
      </c>
      <c r="C454" s="115"/>
      <c r="D454" s="115"/>
      <c r="E454" s="230"/>
      <c r="F454" s="231" t="s">
        <v>0</v>
      </c>
    </row>
    <row r="455" spans="1:6" x14ac:dyDescent="0.2">
      <c r="A455" s="116">
        <v>10</v>
      </c>
      <c r="B455" s="123" t="s">
        <v>113</v>
      </c>
      <c r="C455" s="117" t="s">
        <v>302</v>
      </c>
      <c r="D455" s="118">
        <v>66</v>
      </c>
      <c r="E455" s="230">
        <v>24440</v>
      </c>
      <c r="F455" s="231">
        <f t="shared" si="15"/>
        <v>1613040</v>
      </c>
    </row>
    <row r="456" spans="1:6" ht="25.5" x14ac:dyDescent="0.2">
      <c r="A456" s="128">
        <v>11</v>
      </c>
      <c r="B456" s="127" t="s">
        <v>21</v>
      </c>
      <c r="C456" s="117" t="s">
        <v>302</v>
      </c>
      <c r="D456" s="118">
        <v>45</v>
      </c>
      <c r="E456" s="230">
        <v>30415</v>
      </c>
      <c r="F456" s="231">
        <f t="shared" si="15"/>
        <v>1368675</v>
      </c>
    </row>
    <row r="457" spans="1:6" x14ac:dyDescent="0.2">
      <c r="A457" s="116">
        <v>12</v>
      </c>
      <c r="B457" s="114" t="s">
        <v>114</v>
      </c>
      <c r="C457" s="115"/>
      <c r="D457" s="115"/>
      <c r="E457" s="230"/>
      <c r="F457" s="231" t="s">
        <v>0</v>
      </c>
    </row>
    <row r="458" spans="1:6" x14ac:dyDescent="0.2">
      <c r="A458" s="128">
        <v>13</v>
      </c>
      <c r="B458" s="123" t="s">
        <v>201</v>
      </c>
      <c r="C458" s="117" t="s">
        <v>22</v>
      </c>
      <c r="D458" s="118">
        <v>96</v>
      </c>
      <c r="E458" s="230">
        <f>1835*2</f>
        <v>3670</v>
      </c>
      <c r="F458" s="231">
        <f t="shared" si="15"/>
        <v>352320</v>
      </c>
    </row>
    <row r="459" spans="1:6" ht="27.75" customHeight="1" x14ac:dyDescent="0.2">
      <c r="A459" s="116">
        <v>14</v>
      </c>
      <c r="B459" s="127" t="s">
        <v>115</v>
      </c>
      <c r="C459" s="117" t="s">
        <v>116</v>
      </c>
      <c r="D459" s="118">
        <v>40</v>
      </c>
      <c r="E459" s="230">
        <v>38925</v>
      </c>
      <c r="F459" s="231">
        <f t="shared" si="15"/>
        <v>1557000</v>
      </c>
    </row>
    <row r="460" spans="1:6" x14ac:dyDescent="0.2">
      <c r="A460" s="128">
        <v>15</v>
      </c>
      <c r="B460" s="122" t="s">
        <v>203</v>
      </c>
      <c r="C460" s="117" t="s">
        <v>116</v>
      </c>
      <c r="D460" s="118">
        <v>2</v>
      </c>
      <c r="E460" s="230">
        <v>194622</v>
      </c>
      <c r="F460" s="231">
        <f t="shared" si="15"/>
        <v>389244</v>
      </c>
    </row>
    <row r="461" spans="1:6" ht="41.25" customHeight="1" x14ac:dyDescent="0.2">
      <c r="A461" s="116">
        <v>16</v>
      </c>
      <c r="B461" s="605" t="s">
        <v>787</v>
      </c>
      <c r="C461" s="117" t="s">
        <v>116</v>
      </c>
      <c r="D461" s="118">
        <v>1</v>
      </c>
      <c r="E461" s="230">
        <v>320000</v>
      </c>
      <c r="F461" s="231">
        <f t="shared" si="15"/>
        <v>320000</v>
      </c>
    </row>
    <row r="462" spans="1:6" x14ac:dyDescent="0.2">
      <c r="A462" s="128">
        <v>17</v>
      </c>
      <c r="B462" s="123" t="s">
        <v>142</v>
      </c>
      <c r="C462" s="117" t="s">
        <v>45</v>
      </c>
      <c r="D462" s="118">
        <v>2</v>
      </c>
      <c r="E462" s="230">
        <v>83874</v>
      </c>
      <c r="F462" s="231">
        <f t="shared" si="15"/>
        <v>167748</v>
      </c>
    </row>
    <row r="463" spans="1:6" x14ac:dyDescent="0.2">
      <c r="A463" s="116">
        <v>18</v>
      </c>
      <c r="B463" s="114" t="s">
        <v>120</v>
      </c>
      <c r="C463" s="115"/>
      <c r="D463" s="115"/>
      <c r="E463" s="230"/>
      <c r="F463" s="231" t="s">
        <v>0</v>
      </c>
    </row>
    <row r="464" spans="1:6" x14ac:dyDescent="0.2">
      <c r="A464" s="128">
        <v>19</v>
      </c>
      <c r="B464" s="123" t="s">
        <v>25</v>
      </c>
      <c r="C464" s="117" t="s">
        <v>302</v>
      </c>
      <c r="D464" s="118">
        <v>9</v>
      </c>
      <c r="E464" s="230">
        <v>112055</v>
      </c>
      <c r="F464" s="231">
        <f t="shared" si="15"/>
        <v>1008495</v>
      </c>
    </row>
    <row r="465" spans="1:6" ht="25.5" x14ac:dyDescent="0.2">
      <c r="A465" s="116">
        <v>20</v>
      </c>
      <c r="B465" s="127" t="s">
        <v>121</v>
      </c>
      <c r="C465" s="117" t="s">
        <v>302</v>
      </c>
      <c r="D465" s="118">
        <v>35</v>
      </c>
      <c r="E465" s="230">
        <v>20553</v>
      </c>
      <c r="F465" s="231">
        <f t="shared" si="15"/>
        <v>719355</v>
      </c>
    </row>
    <row r="466" spans="1:6" x14ac:dyDescent="0.2">
      <c r="A466" s="128">
        <v>21</v>
      </c>
      <c r="B466" s="123" t="s">
        <v>143</v>
      </c>
      <c r="C466" s="117" t="s">
        <v>302</v>
      </c>
      <c r="D466" s="118">
        <v>20</v>
      </c>
      <c r="E466" s="230">
        <v>134520</v>
      </c>
      <c r="F466" s="231">
        <f t="shared" si="15"/>
        <v>2690400</v>
      </c>
    </row>
    <row r="467" spans="1:6" x14ac:dyDescent="0.2">
      <c r="A467" s="116">
        <v>22</v>
      </c>
      <c r="B467" s="114" t="s">
        <v>123</v>
      </c>
      <c r="C467" s="115"/>
      <c r="D467" s="115"/>
      <c r="E467" s="230"/>
      <c r="F467" s="231" t="s">
        <v>0</v>
      </c>
    </row>
    <row r="468" spans="1:6" ht="25.5" x14ac:dyDescent="0.2">
      <c r="A468" s="128">
        <v>23</v>
      </c>
      <c r="B468" s="127" t="s">
        <v>72</v>
      </c>
      <c r="C468" s="117" t="s">
        <v>302</v>
      </c>
      <c r="D468" s="118">
        <v>1</v>
      </c>
      <c r="E468" s="230">
        <v>562312</v>
      </c>
      <c r="F468" s="231">
        <f t="shared" si="15"/>
        <v>562312</v>
      </c>
    </row>
    <row r="469" spans="1:6" x14ac:dyDescent="0.2">
      <c r="A469" s="116">
        <v>24</v>
      </c>
      <c r="B469" s="123" t="s">
        <v>647</v>
      </c>
      <c r="C469" s="117" t="s">
        <v>302</v>
      </c>
      <c r="D469" s="118">
        <v>15</v>
      </c>
      <c r="E469" s="230">
        <v>763644</v>
      </c>
      <c r="F469" s="231">
        <f t="shared" si="15"/>
        <v>11454660</v>
      </c>
    </row>
    <row r="470" spans="1:6" x14ac:dyDescent="0.2">
      <c r="A470" s="128">
        <v>25</v>
      </c>
      <c r="B470" s="114" t="s">
        <v>74</v>
      </c>
      <c r="C470" s="115"/>
      <c r="D470" s="115"/>
      <c r="E470" s="230"/>
      <c r="F470" s="231" t="s">
        <v>0</v>
      </c>
    </row>
    <row r="471" spans="1:6" x14ac:dyDescent="0.2">
      <c r="A471" s="116">
        <v>26</v>
      </c>
      <c r="B471" s="121" t="s">
        <v>135</v>
      </c>
      <c r="C471" s="117" t="s">
        <v>136</v>
      </c>
      <c r="D471" s="118">
        <v>36</v>
      </c>
      <c r="E471" s="230">
        <v>5484</v>
      </c>
      <c r="F471" s="231">
        <f t="shared" si="15"/>
        <v>197424</v>
      </c>
    </row>
    <row r="472" spans="1:6" ht="25.5" x14ac:dyDescent="0.2">
      <c r="A472" s="128">
        <v>27</v>
      </c>
      <c r="B472" s="127" t="s">
        <v>137</v>
      </c>
      <c r="C472" s="117" t="s">
        <v>99</v>
      </c>
      <c r="D472" s="118">
        <v>1.25</v>
      </c>
      <c r="E472" s="230">
        <v>1351872</v>
      </c>
      <c r="F472" s="231">
        <f>ROUND(D472*E472,0)</f>
        <v>1689840</v>
      </c>
    </row>
    <row r="473" spans="1:6" x14ac:dyDescent="0.2">
      <c r="A473" s="128"/>
      <c r="B473" s="114" t="s">
        <v>30</v>
      </c>
      <c r="C473" s="113"/>
      <c r="D473" s="124"/>
      <c r="E473" s="152"/>
      <c r="F473" s="125">
        <f>ROUND(SUM(F442:F472),0)</f>
        <v>32352273</v>
      </c>
    </row>
    <row r="474" spans="1:6" x14ac:dyDescent="0.2">
      <c r="A474" s="126"/>
      <c r="B474" s="126"/>
      <c r="C474" s="126"/>
      <c r="D474" s="126"/>
      <c r="E474" s="126"/>
      <c r="F474" s="126"/>
    </row>
    <row r="475" spans="1:6" x14ac:dyDescent="0.2">
      <c r="A475" s="77" t="s">
        <v>78</v>
      </c>
      <c r="B475" s="109"/>
      <c r="C475" s="109"/>
      <c r="D475" s="109"/>
      <c r="E475" s="109"/>
      <c r="F475" s="111">
        <f>ROUND(F473/1.3495,0)</f>
        <v>23973526</v>
      </c>
    </row>
    <row r="476" spans="1:6" x14ac:dyDescent="0.2">
      <c r="A476" s="77" t="s">
        <v>79</v>
      </c>
      <c r="B476" s="109"/>
      <c r="C476" s="109"/>
      <c r="D476" s="112">
        <v>0.24</v>
      </c>
      <c r="E476" s="109"/>
      <c r="F476" s="111">
        <f>ROUND(F475*D476,0)</f>
        <v>5753646</v>
      </c>
    </row>
    <row r="477" spans="1:6" x14ac:dyDescent="0.2">
      <c r="A477" s="77" t="s">
        <v>32</v>
      </c>
      <c r="B477" s="109"/>
      <c r="C477" s="109"/>
      <c r="D477" s="112">
        <v>0.05</v>
      </c>
      <c r="E477" s="109"/>
      <c r="F477" s="111">
        <f>ROUND(F475*D477,0)</f>
        <v>1198676</v>
      </c>
    </row>
    <row r="478" spans="1:6" x14ac:dyDescent="0.2">
      <c r="A478" s="77" t="s">
        <v>80</v>
      </c>
      <c r="B478" s="85"/>
      <c r="C478" s="85"/>
      <c r="D478" s="112">
        <v>0.05</v>
      </c>
      <c r="E478" s="85"/>
      <c r="F478" s="111">
        <f>ROUND(F475*D478,0)</f>
        <v>1198676</v>
      </c>
    </row>
    <row r="479" spans="1:6" x14ac:dyDescent="0.2">
      <c r="A479" s="77" t="s">
        <v>81</v>
      </c>
      <c r="B479" s="85"/>
      <c r="C479" s="85"/>
      <c r="D479" s="112"/>
      <c r="E479" s="85"/>
      <c r="F479" s="111">
        <f>ROUND(SUM(F475:F478),0)</f>
        <v>32124524</v>
      </c>
    </row>
    <row r="480" spans="1:6" x14ac:dyDescent="0.2">
      <c r="A480" s="77" t="s">
        <v>82</v>
      </c>
      <c r="B480" s="85"/>
      <c r="C480" s="85"/>
      <c r="D480" s="112">
        <v>0.19</v>
      </c>
      <c r="E480" s="85"/>
      <c r="F480" s="111">
        <f>ROUND(F478*D480,0)</f>
        <v>227748</v>
      </c>
    </row>
    <row r="481" spans="1:6" x14ac:dyDescent="0.2">
      <c r="A481" s="88" t="s">
        <v>83</v>
      </c>
      <c r="B481" s="88"/>
      <c r="C481" s="88"/>
      <c r="D481" s="88"/>
      <c r="E481" s="88"/>
      <c r="F481" s="111">
        <f>ROUND(SUM(F479+F480),0)</f>
        <v>32352272</v>
      </c>
    </row>
    <row r="484" spans="1:6" x14ac:dyDescent="0.2">
      <c r="A484" s="632" t="s">
        <v>7</v>
      </c>
      <c r="B484" s="632"/>
      <c r="C484" s="632"/>
      <c r="D484" s="632"/>
      <c r="E484" s="632"/>
      <c r="F484" s="632"/>
    </row>
    <row r="485" spans="1:6" x14ac:dyDescent="0.2">
      <c r="A485" s="627" t="s">
        <v>15</v>
      </c>
      <c r="B485" s="627" t="s">
        <v>16</v>
      </c>
      <c r="C485" s="627" t="s">
        <v>33</v>
      </c>
      <c r="D485" s="627" t="s">
        <v>34</v>
      </c>
      <c r="E485" s="627"/>
      <c r="F485" s="627"/>
    </row>
    <row r="486" spans="1:6" x14ac:dyDescent="0.2">
      <c r="A486" s="627"/>
      <c r="B486" s="627"/>
      <c r="C486" s="627"/>
      <c r="D486" s="113" t="s">
        <v>35</v>
      </c>
      <c r="E486" s="113" t="s">
        <v>36</v>
      </c>
      <c r="F486" s="113" t="s">
        <v>37</v>
      </c>
    </row>
    <row r="487" spans="1:6" x14ac:dyDescent="0.2">
      <c r="A487" s="128">
        <v>1</v>
      </c>
      <c r="B487" s="114" t="s">
        <v>38</v>
      </c>
      <c r="C487" s="627"/>
      <c r="D487" s="627"/>
      <c r="E487" s="627"/>
      <c r="F487" s="115"/>
    </row>
    <row r="488" spans="1:6" ht="27" customHeight="1" x14ac:dyDescent="0.2">
      <c r="A488" s="116">
        <v>2</v>
      </c>
      <c r="B488" s="127" t="s">
        <v>108</v>
      </c>
      <c r="C488" s="117" t="s">
        <v>22</v>
      </c>
      <c r="D488" s="118">
        <v>96</v>
      </c>
      <c r="E488" s="230">
        <v>4843</v>
      </c>
      <c r="F488" s="231">
        <f t="shared" ref="F488:F513" si="16">ROUND(D488*E488,0)</f>
        <v>464928</v>
      </c>
    </row>
    <row r="489" spans="1:6" ht="25.5" x14ac:dyDescent="0.2">
      <c r="A489" s="128">
        <v>3</v>
      </c>
      <c r="B489" s="121" t="s">
        <v>18</v>
      </c>
      <c r="C489" s="117" t="s">
        <v>22</v>
      </c>
      <c r="D489" s="118">
        <v>204</v>
      </c>
      <c r="E489" s="119">
        <v>12600</v>
      </c>
      <c r="F489" s="231">
        <f t="shared" si="16"/>
        <v>2570400</v>
      </c>
    </row>
    <row r="490" spans="1:6" x14ac:dyDescent="0.2">
      <c r="A490" s="116">
        <v>4</v>
      </c>
      <c r="B490" s="123" t="s">
        <v>19</v>
      </c>
      <c r="C490" s="117" t="s">
        <v>45</v>
      </c>
      <c r="D490" s="118">
        <v>2</v>
      </c>
      <c r="E490" s="230">
        <v>144273</v>
      </c>
      <c r="F490" s="231">
        <f t="shared" si="16"/>
        <v>288546</v>
      </c>
    </row>
    <row r="491" spans="1:6" ht="18.75" customHeight="1" x14ac:dyDescent="0.2">
      <c r="A491" s="128">
        <v>5</v>
      </c>
      <c r="B491" s="127" t="s">
        <v>110</v>
      </c>
      <c r="C491" s="117" t="s">
        <v>45</v>
      </c>
      <c r="D491" s="118">
        <v>1</v>
      </c>
      <c r="E491" s="230">
        <v>730341</v>
      </c>
      <c r="F491" s="231">
        <f t="shared" si="16"/>
        <v>730341</v>
      </c>
    </row>
    <row r="492" spans="1:6" x14ac:dyDescent="0.2">
      <c r="A492" s="116">
        <v>6</v>
      </c>
      <c r="B492" s="114" t="s">
        <v>48</v>
      </c>
      <c r="C492" s="115"/>
      <c r="D492" s="115"/>
      <c r="E492" s="230"/>
      <c r="F492" s="231" t="s">
        <v>0</v>
      </c>
    </row>
    <row r="493" spans="1:6" x14ac:dyDescent="0.2">
      <c r="A493" s="128">
        <v>7</v>
      </c>
      <c r="B493" s="120" t="s">
        <v>111</v>
      </c>
      <c r="C493" s="117" t="s">
        <v>22</v>
      </c>
      <c r="D493" s="118">
        <v>492</v>
      </c>
      <c r="E493" s="230">
        <v>7086</v>
      </c>
      <c r="F493" s="231">
        <f t="shared" si="16"/>
        <v>3486312</v>
      </c>
    </row>
    <row r="494" spans="1:6" ht="40.5" customHeight="1" x14ac:dyDescent="0.2">
      <c r="A494" s="116">
        <v>8</v>
      </c>
      <c r="B494" s="127" t="s">
        <v>112</v>
      </c>
      <c r="C494" s="117" t="s">
        <v>302</v>
      </c>
      <c r="D494" s="118">
        <v>17</v>
      </c>
      <c r="E494" s="230">
        <v>77371</v>
      </c>
      <c r="F494" s="231">
        <f t="shared" si="16"/>
        <v>1315307</v>
      </c>
    </row>
    <row r="495" spans="1:6" x14ac:dyDescent="0.2">
      <c r="A495" s="128">
        <v>9</v>
      </c>
      <c r="B495" s="114" t="s">
        <v>51</v>
      </c>
      <c r="C495" s="115"/>
      <c r="D495" s="115"/>
      <c r="E495" s="230"/>
      <c r="F495" s="231" t="s">
        <v>0</v>
      </c>
    </row>
    <row r="496" spans="1:6" x14ac:dyDescent="0.2">
      <c r="A496" s="116">
        <v>10</v>
      </c>
      <c r="B496" s="123" t="s">
        <v>113</v>
      </c>
      <c r="C496" s="117" t="s">
        <v>302</v>
      </c>
      <c r="D496" s="118">
        <v>70</v>
      </c>
      <c r="E496" s="230">
        <v>24440</v>
      </c>
      <c r="F496" s="231">
        <f t="shared" si="16"/>
        <v>1710800</v>
      </c>
    </row>
    <row r="497" spans="1:6" ht="25.5" x14ac:dyDescent="0.2">
      <c r="A497" s="128">
        <v>11</v>
      </c>
      <c r="B497" s="127" t="s">
        <v>21</v>
      </c>
      <c r="C497" s="117" t="s">
        <v>302</v>
      </c>
      <c r="D497" s="118">
        <v>50</v>
      </c>
      <c r="E497" s="230">
        <v>30415</v>
      </c>
      <c r="F497" s="231">
        <f t="shared" si="16"/>
        <v>1520750</v>
      </c>
    </row>
    <row r="498" spans="1:6" x14ac:dyDescent="0.2">
      <c r="A498" s="116">
        <v>12</v>
      </c>
      <c r="B498" s="114" t="s">
        <v>114</v>
      </c>
      <c r="C498" s="115"/>
      <c r="D498" s="115"/>
      <c r="E498" s="230"/>
      <c r="F498" s="231" t="s">
        <v>0</v>
      </c>
    </row>
    <row r="499" spans="1:6" x14ac:dyDescent="0.2">
      <c r="A499" s="128">
        <v>13</v>
      </c>
      <c r="B499" s="123" t="s">
        <v>201</v>
      </c>
      <c r="C499" s="117" t="s">
        <v>22</v>
      </c>
      <c r="D499" s="118">
        <v>96</v>
      </c>
      <c r="E499" s="230">
        <f>1835*2</f>
        <v>3670</v>
      </c>
      <c r="F499" s="231">
        <f t="shared" si="16"/>
        <v>352320</v>
      </c>
    </row>
    <row r="500" spans="1:6" ht="25.5" x14ac:dyDescent="0.2">
      <c r="A500" s="116">
        <v>14</v>
      </c>
      <c r="B500" s="127" t="s">
        <v>115</v>
      </c>
      <c r="C500" s="117" t="s">
        <v>116</v>
      </c>
      <c r="D500" s="118">
        <v>40</v>
      </c>
      <c r="E500" s="230">
        <v>38925</v>
      </c>
      <c r="F500" s="231">
        <f t="shared" si="16"/>
        <v>1557000</v>
      </c>
    </row>
    <row r="501" spans="1:6" x14ac:dyDescent="0.2">
      <c r="A501" s="128">
        <v>15</v>
      </c>
      <c r="B501" s="122" t="s">
        <v>203</v>
      </c>
      <c r="C501" s="117" t="s">
        <v>116</v>
      </c>
      <c r="D501" s="118">
        <v>2</v>
      </c>
      <c r="E501" s="230">
        <v>194622</v>
      </c>
      <c r="F501" s="231">
        <f t="shared" si="16"/>
        <v>389244</v>
      </c>
    </row>
    <row r="502" spans="1:6" ht="38.25" x14ac:dyDescent="0.2">
      <c r="A502" s="116">
        <v>16</v>
      </c>
      <c r="B502" s="121" t="s">
        <v>693</v>
      </c>
      <c r="C502" s="117" t="s">
        <v>116</v>
      </c>
      <c r="D502" s="118">
        <v>2</v>
      </c>
      <c r="E502" s="230">
        <v>320000</v>
      </c>
      <c r="F502" s="231">
        <f t="shared" si="16"/>
        <v>640000</v>
      </c>
    </row>
    <row r="503" spans="1:6" x14ac:dyDescent="0.2">
      <c r="A503" s="128">
        <v>17</v>
      </c>
      <c r="B503" s="123" t="s">
        <v>142</v>
      </c>
      <c r="C503" s="117" t="s">
        <v>45</v>
      </c>
      <c r="D503" s="118">
        <v>4</v>
      </c>
      <c r="E503" s="230">
        <v>83874</v>
      </c>
      <c r="F503" s="231">
        <f t="shared" si="16"/>
        <v>335496</v>
      </c>
    </row>
    <row r="504" spans="1:6" x14ac:dyDescent="0.2">
      <c r="A504" s="116">
        <v>18</v>
      </c>
      <c r="B504" s="114" t="s">
        <v>120</v>
      </c>
      <c r="C504" s="115"/>
      <c r="D504" s="115"/>
      <c r="E504" s="230"/>
      <c r="F504" s="231" t="s">
        <v>0</v>
      </c>
    </row>
    <row r="505" spans="1:6" x14ac:dyDescent="0.2">
      <c r="A505" s="128">
        <v>19</v>
      </c>
      <c r="B505" s="123" t="s">
        <v>25</v>
      </c>
      <c r="C505" s="117" t="s">
        <v>302</v>
      </c>
      <c r="D505" s="118">
        <v>9</v>
      </c>
      <c r="E505" s="230">
        <v>112055</v>
      </c>
      <c r="F505" s="231">
        <f t="shared" si="16"/>
        <v>1008495</v>
      </c>
    </row>
    <row r="506" spans="1:6" ht="25.5" x14ac:dyDescent="0.2">
      <c r="A506" s="116">
        <v>20</v>
      </c>
      <c r="B506" s="127" t="s">
        <v>121</v>
      </c>
      <c r="C506" s="117" t="s">
        <v>302</v>
      </c>
      <c r="D506" s="118">
        <v>37</v>
      </c>
      <c r="E506" s="230">
        <v>20553</v>
      </c>
      <c r="F506" s="231">
        <f t="shared" si="16"/>
        <v>760461</v>
      </c>
    </row>
    <row r="507" spans="1:6" x14ac:dyDescent="0.2">
      <c r="A507" s="128">
        <v>21</v>
      </c>
      <c r="B507" s="123" t="s">
        <v>143</v>
      </c>
      <c r="C507" s="117" t="s">
        <v>302</v>
      </c>
      <c r="D507" s="118">
        <v>23</v>
      </c>
      <c r="E507" s="230">
        <v>134520</v>
      </c>
      <c r="F507" s="231">
        <f t="shared" si="16"/>
        <v>3093960</v>
      </c>
    </row>
    <row r="508" spans="1:6" x14ac:dyDescent="0.2">
      <c r="A508" s="116">
        <v>22</v>
      </c>
      <c r="B508" s="114" t="s">
        <v>123</v>
      </c>
      <c r="C508" s="115"/>
      <c r="D508" s="115"/>
      <c r="E508" s="230"/>
      <c r="F508" s="231" t="s">
        <v>0</v>
      </c>
    </row>
    <row r="509" spans="1:6" ht="25.5" x14ac:dyDescent="0.2">
      <c r="A509" s="128">
        <v>23</v>
      </c>
      <c r="B509" s="127" t="s">
        <v>72</v>
      </c>
      <c r="C509" s="117" t="s">
        <v>302</v>
      </c>
      <c r="D509" s="118">
        <v>1</v>
      </c>
      <c r="E509" s="230">
        <v>562312</v>
      </c>
      <c r="F509" s="231">
        <f t="shared" si="16"/>
        <v>562312</v>
      </c>
    </row>
    <row r="510" spans="1:6" x14ac:dyDescent="0.2">
      <c r="A510" s="116">
        <v>24</v>
      </c>
      <c r="B510" s="123" t="s">
        <v>647</v>
      </c>
      <c r="C510" s="117" t="s">
        <v>302</v>
      </c>
      <c r="D510" s="118">
        <v>17</v>
      </c>
      <c r="E510" s="230">
        <v>763644</v>
      </c>
      <c r="F510" s="231">
        <f t="shared" si="16"/>
        <v>12981948</v>
      </c>
    </row>
    <row r="511" spans="1:6" x14ac:dyDescent="0.2">
      <c r="A511" s="128">
        <v>25</v>
      </c>
      <c r="B511" s="114" t="s">
        <v>74</v>
      </c>
      <c r="C511" s="115"/>
      <c r="D511" s="115"/>
      <c r="E511" s="230"/>
      <c r="F511" s="231" t="s">
        <v>0</v>
      </c>
    </row>
    <row r="512" spans="1:6" x14ac:dyDescent="0.2">
      <c r="A512" s="116">
        <v>26</v>
      </c>
      <c r="B512" s="123" t="s">
        <v>135</v>
      </c>
      <c r="C512" s="117" t="s">
        <v>136</v>
      </c>
      <c r="D512" s="118">
        <v>36</v>
      </c>
      <c r="E512" s="230">
        <v>5484</v>
      </c>
      <c r="F512" s="231">
        <f t="shared" si="16"/>
        <v>197424</v>
      </c>
    </row>
    <row r="513" spans="1:6" ht="25.5" x14ac:dyDescent="0.2">
      <c r="A513" s="128">
        <v>27</v>
      </c>
      <c r="B513" s="127" t="s">
        <v>137</v>
      </c>
      <c r="C513" s="117" t="s">
        <v>99</v>
      </c>
      <c r="D513" s="118">
        <v>1.25</v>
      </c>
      <c r="E513" s="230">
        <v>1351872</v>
      </c>
      <c r="F513" s="231">
        <f t="shared" si="16"/>
        <v>1689840</v>
      </c>
    </row>
    <row r="514" spans="1:6" x14ac:dyDescent="0.2">
      <c r="A514" s="128"/>
      <c r="B514" s="114" t="s">
        <v>30</v>
      </c>
      <c r="C514" s="113"/>
      <c r="D514" s="124"/>
      <c r="E514" s="152"/>
      <c r="F514" s="125">
        <f>ROUND(SUM(F483:F513),0)</f>
        <v>35655884</v>
      </c>
    </row>
    <row r="515" spans="1:6" x14ac:dyDescent="0.2">
      <c r="A515" s="126"/>
      <c r="B515" s="126"/>
      <c r="C515" s="126"/>
      <c r="D515" s="126"/>
      <c r="E515" s="126"/>
      <c r="F515" s="126"/>
    </row>
    <row r="516" spans="1:6" x14ac:dyDescent="0.2">
      <c r="A516" s="77" t="s">
        <v>78</v>
      </c>
      <c r="B516" s="109"/>
      <c r="C516" s="109"/>
      <c r="D516" s="109"/>
      <c r="E516" s="109"/>
      <c r="F516" s="111">
        <f>ROUND(F514/1.3495,0)</f>
        <v>26421552</v>
      </c>
    </row>
    <row r="517" spans="1:6" x14ac:dyDescent="0.2">
      <c r="A517" s="77" t="s">
        <v>79</v>
      </c>
      <c r="B517" s="109"/>
      <c r="C517" s="109"/>
      <c r="D517" s="112">
        <v>0.24</v>
      </c>
      <c r="E517" s="109"/>
      <c r="F517" s="111">
        <f>ROUND(F516*D517,0)</f>
        <v>6341172</v>
      </c>
    </row>
    <row r="518" spans="1:6" x14ac:dyDescent="0.2">
      <c r="A518" s="77" t="s">
        <v>32</v>
      </c>
      <c r="B518" s="109"/>
      <c r="C518" s="109"/>
      <c r="D518" s="112">
        <v>0.05</v>
      </c>
      <c r="E518" s="109"/>
      <c r="F518" s="111">
        <f>ROUND(F516*D518,0)</f>
        <v>1321078</v>
      </c>
    </row>
    <row r="519" spans="1:6" x14ac:dyDescent="0.2">
      <c r="A519" s="77" t="s">
        <v>80</v>
      </c>
      <c r="B519" s="85"/>
      <c r="C519" s="85"/>
      <c r="D519" s="112">
        <v>0.05</v>
      </c>
      <c r="E519" s="85"/>
      <c r="F519" s="111">
        <f>ROUND(F516*D519,0)</f>
        <v>1321078</v>
      </c>
    </row>
    <row r="520" spans="1:6" x14ac:dyDescent="0.2">
      <c r="A520" s="77" t="s">
        <v>81</v>
      </c>
      <c r="B520" s="85"/>
      <c r="C520" s="85"/>
      <c r="D520" s="112"/>
      <c r="E520" s="85"/>
      <c r="F520" s="111">
        <f>ROUND(SUM(F516:F519),0)</f>
        <v>35404880</v>
      </c>
    </row>
    <row r="521" spans="1:6" x14ac:dyDescent="0.2">
      <c r="A521" s="77" t="s">
        <v>82</v>
      </c>
      <c r="B521" s="85"/>
      <c r="C521" s="85"/>
      <c r="D521" s="112">
        <v>0.19</v>
      </c>
      <c r="E521" s="85"/>
      <c r="F521" s="111">
        <f>ROUND(F519*D521,0)</f>
        <v>251005</v>
      </c>
    </row>
    <row r="522" spans="1:6" x14ac:dyDescent="0.2">
      <c r="A522" s="88" t="s">
        <v>76</v>
      </c>
      <c r="B522" s="88"/>
      <c r="C522" s="88"/>
      <c r="D522" s="88"/>
      <c r="E522" s="88"/>
      <c r="F522" s="111">
        <f>ROUND(SUM(F520+F521),0)</f>
        <v>35655885</v>
      </c>
    </row>
    <row r="525" spans="1:6" x14ac:dyDescent="0.2">
      <c r="A525" s="632" t="s">
        <v>202</v>
      </c>
      <c r="B525" s="632"/>
      <c r="C525" s="632"/>
      <c r="D525" s="632"/>
      <c r="E525" s="632"/>
      <c r="F525" s="632"/>
    </row>
    <row r="526" spans="1:6" x14ac:dyDescent="0.2">
      <c r="A526" s="627" t="s">
        <v>15</v>
      </c>
      <c r="B526" s="627" t="s">
        <v>16</v>
      </c>
      <c r="C526" s="627" t="s">
        <v>33</v>
      </c>
      <c r="D526" s="627" t="s">
        <v>34</v>
      </c>
      <c r="E526" s="627"/>
      <c r="F526" s="627"/>
    </row>
    <row r="527" spans="1:6" x14ac:dyDescent="0.2">
      <c r="A527" s="627"/>
      <c r="B527" s="627"/>
      <c r="C527" s="627"/>
      <c r="D527" s="113" t="s">
        <v>35</v>
      </c>
      <c r="E527" s="113" t="s">
        <v>36</v>
      </c>
      <c r="F527" s="113" t="s">
        <v>37</v>
      </c>
    </row>
    <row r="528" spans="1:6" x14ac:dyDescent="0.2">
      <c r="A528" s="128">
        <v>1</v>
      </c>
      <c r="B528" s="114" t="s">
        <v>38</v>
      </c>
      <c r="C528" s="627"/>
      <c r="D528" s="627"/>
      <c r="E528" s="627"/>
      <c r="F528" s="115"/>
    </row>
    <row r="529" spans="1:6" ht="25.5" x14ac:dyDescent="0.2">
      <c r="A529" s="116">
        <v>2</v>
      </c>
      <c r="B529" s="127" t="s">
        <v>108</v>
      </c>
      <c r="C529" s="117" t="s">
        <v>22</v>
      </c>
      <c r="D529" s="118">
        <v>96</v>
      </c>
      <c r="E529" s="230">
        <v>4843</v>
      </c>
      <c r="F529" s="231">
        <f t="shared" ref="F529:F554" si="17">ROUND(D529*E529,0)</f>
        <v>464928</v>
      </c>
    </row>
    <row r="530" spans="1:6" ht="35.25" customHeight="1" x14ac:dyDescent="0.2">
      <c r="A530" s="128">
        <v>3</v>
      </c>
      <c r="B530" s="121" t="s">
        <v>18</v>
      </c>
      <c r="C530" s="117" t="s">
        <v>22</v>
      </c>
      <c r="D530" s="118">
        <v>204</v>
      </c>
      <c r="E530" s="119">
        <v>12600</v>
      </c>
      <c r="F530" s="231">
        <f t="shared" si="17"/>
        <v>2570400</v>
      </c>
    </row>
    <row r="531" spans="1:6" x14ac:dyDescent="0.2">
      <c r="A531" s="116">
        <v>4</v>
      </c>
      <c r="B531" s="123" t="s">
        <v>19</v>
      </c>
      <c r="C531" s="117" t="s">
        <v>45</v>
      </c>
      <c r="D531" s="118">
        <v>2</v>
      </c>
      <c r="E531" s="230">
        <v>144273</v>
      </c>
      <c r="F531" s="231">
        <f t="shared" si="17"/>
        <v>288546</v>
      </c>
    </row>
    <row r="532" spans="1:6" ht="21" customHeight="1" x14ac:dyDescent="0.2">
      <c r="A532" s="128">
        <v>5</v>
      </c>
      <c r="B532" s="127" t="s">
        <v>110</v>
      </c>
      <c r="C532" s="117" t="s">
        <v>45</v>
      </c>
      <c r="D532" s="118">
        <v>1</v>
      </c>
      <c r="E532" s="230">
        <v>730341</v>
      </c>
      <c r="F532" s="231">
        <f t="shared" si="17"/>
        <v>730341</v>
      </c>
    </row>
    <row r="533" spans="1:6" x14ac:dyDescent="0.2">
      <c r="A533" s="116">
        <v>6</v>
      </c>
      <c r="B533" s="114" t="s">
        <v>48</v>
      </c>
      <c r="C533" s="115"/>
      <c r="D533" s="115"/>
      <c r="E533" s="230"/>
      <c r="F533" s="231" t="s">
        <v>0</v>
      </c>
    </row>
    <row r="534" spans="1:6" x14ac:dyDescent="0.2">
      <c r="A534" s="128">
        <v>7</v>
      </c>
      <c r="B534" s="147" t="s">
        <v>111</v>
      </c>
      <c r="C534" s="117" t="s">
        <v>22</v>
      </c>
      <c r="D534" s="118">
        <v>432</v>
      </c>
      <c r="E534" s="230">
        <v>7086</v>
      </c>
      <c r="F534" s="231">
        <f t="shared" si="17"/>
        <v>3061152</v>
      </c>
    </row>
    <row r="535" spans="1:6" ht="42" customHeight="1" x14ac:dyDescent="0.2">
      <c r="A535" s="116">
        <v>8</v>
      </c>
      <c r="B535" s="127" t="s">
        <v>112</v>
      </c>
      <c r="C535" s="117" t="s">
        <v>302</v>
      </c>
      <c r="D535" s="118">
        <v>15</v>
      </c>
      <c r="E535" s="230">
        <v>77371</v>
      </c>
      <c r="F535" s="231">
        <f t="shared" si="17"/>
        <v>1160565</v>
      </c>
    </row>
    <row r="536" spans="1:6" x14ac:dyDescent="0.2">
      <c r="A536" s="128">
        <v>9</v>
      </c>
      <c r="B536" s="114" t="s">
        <v>51</v>
      </c>
      <c r="C536" s="115"/>
      <c r="D536" s="115"/>
      <c r="E536" s="230"/>
      <c r="F536" s="231" t="s">
        <v>0</v>
      </c>
    </row>
    <row r="537" spans="1:6" x14ac:dyDescent="0.2">
      <c r="A537" s="116">
        <v>10</v>
      </c>
      <c r="B537" s="123" t="s">
        <v>113</v>
      </c>
      <c r="C537" s="117" t="s">
        <v>302</v>
      </c>
      <c r="D537" s="118">
        <v>96</v>
      </c>
      <c r="E537" s="230">
        <v>24440</v>
      </c>
      <c r="F537" s="231">
        <f t="shared" si="17"/>
        <v>2346240</v>
      </c>
    </row>
    <row r="538" spans="1:6" ht="25.5" x14ac:dyDescent="0.2">
      <c r="A538" s="128">
        <v>15</v>
      </c>
      <c r="B538" s="127" t="s">
        <v>21</v>
      </c>
      <c r="C538" s="117" t="s">
        <v>302</v>
      </c>
      <c r="D538" s="118">
        <v>45</v>
      </c>
      <c r="E538" s="230">
        <v>30415</v>
      </c>
      <c r="F538" s="231">
        <f t="shared" si="17"/>
        <v>1368675</v>
      </c>
    </row>
    <row r="539" spans="1:6" x14ac:dyDescent="0.2">
      <c r="A539" s="116">
        <v>16</v>
      </c>
      <c r="B539" s="114" t="s">
        <v>114</v>
      </c>
      <c r="C539" s="115"/>
      <c r="D539" s="115"/>
      <c r="E539" s="230"/>
      <c r="F539" s="231" t="s">
        <v>0</v>
      </c>
    </row>
    <row r="540" spans="1:6" x14ac:dyDescent="0.2">
      <c r="A540" s="128">
        <v>17</v>
      </c>
      <c r="B540" s="123" t="s">
        <v>141</v>
      </c>
      <c r="C540" s="117" t="s">
        <v>22</v>
      </c>
      <c r="D540" s="118">
        <v>90</v>
      </c>
      <c r="E540" s="230">
        <f>1835*2</f>
        <v>3670</v>
      </c>
      <c r="F540" s="231">
        <f t="shared" si="17"/>
        <v>330300</v>
      </c>
    </row>
    <row r="541" spans="1:6" ht="33.75" customHeight="1" x14ac:dyDescent="0.2">
      <c r="A541" s="116">
        <v>18</v>
      </c>
      <c r="B541" s="127" t="s">
        <v>115</v>
      </c>
      <c r="C541" s="117" t="s">
        <v>116</v>
      </c>
      <c r="D541" s="118">
        <v>20</v>
      </c>
      <c r="E541" s="230">
        <v>38925</v>
      </c>
      <c r="F541" s="231">
        <f t="shared" si="17"/>
        <v>778500</v>
      </c>
    </row>
    <row r="542" spans="1:6" x14ac:dyDescent="0.2">
      <c r="A542" s="128">
        <v>19</v>
      </c>
      <c r="B542" s="122" t="s">
        <v>203</v>
      </c>
      <c r="C542" s="117" t="s">
        <v>116</v>
      </c>
      <c r="D542" s="118">
        <v>2</v>
      </c>
      <c r="E542" s="230">
        <v>194622</v>
      </c>
      <c r="F542" s="231">
        <f t="shared" si="17"/>
        <v>389244</v>
      </c>
    </row>
    <row r="543" spans="1:6" ht="47.25" customHeight="1" x14ac:dyDescent="0.2">
      <c r="A543" s="116">
        <v>20</v>
      </c>
      <c r="B543" s="127" t="s">
        <v>646</v>
      </c>
      <c r="C543" s="117" t="s">
        <v>116</v>
      </c>
      <c r="D543" s="118">
        <v>1</v>
      </c>
      <c r="E543" s="230">
        <v>320000</v>
      </c>
      <c r="F543" s="231">
        <f t="shared" si="17"/>
        <v>320000</v>
      </c>
    </row>
    <row r="544" spans="1:6" x14ac:dyDescent="0.2">
      <c r="A544" s="128">
        <v>21</v>
      </c>
      <c r="B544" s="123" t="s">
        <v>142</v>
      </c>
      <c r="C544" s="117" t="s">
        <v>45</v>
      </c>
      <c r="D544" s="118">
        <v>2</v>
      </c>
      <c r="E544" s="230">
        <v>83874</v>
      </c>
      <c r="F544" s="231">
        <f t="shared" si="17"/>
        <v>167748</v>
      </c>
    </row>
    <row r="545" spans="1:6" x14ac:dyDescent="0.2">
      <c r="A545" s="116">
        <v>22</v>
      </c>
      <c r="B545" s="114" t="s">
        <v>120</v>
      </c>
      <c r="C545" s="115"/>
      <c r="D545" s="115"/>
      <c r="E545" s="230"/>
      <c r="F545" s="231" t="s">
        <v>0</v>
      </c>
    </row>
    <row r="546" spans="1:6" x14ac:dyDescent="0.2">
      <c r="A546" s="128">
        <v>23</v>
      </c>
      <c r="B546" s="123" t="s">
        <v>25</v>
      </c>
      <c r="C546" s="117" t="s">
        <v>302</v>
      </c>
      <c r="D546" s="118">
        <v>9</v>
      </c>
      <c r="E546" s="230">
        <v>112055</v>
      </c>
      <c r="F546" s="231">
        <f t="shared" si="17"/>
        <v>1008495</v>
      </c>
    </row>
    <row r="547" spans="1:6" ht="25.5" x14ac:dyDescent="0.2">
      <c r="A547" s="116">
        <v>24</v>
      </c>
      <c r="B547" s="127" t="s">
        <v>121</v>
      </c>
      <c r="C547" s="117" t="s">
        <v>302</v>
      </c>
      <c r="D547" s="118">
        <v>35</v>
      </c>
      <c r="E547" s="230">
        <v>20553</v>
      </c>
      <c r="F547" s="231">
        <f t="shared" si="17"/>
        <v>719355</v>
      </c>
    </row>
    <row r="548" spans="1:6" x14ac:dyDescent="0.2">
      <c r="A548" s="128">
        <v>25</v>
      </c>
      <c r="B548" s="123" t="s">
        <v>143</v>
      </c>
      <c r="C548" s="117" t="s">
        <v>302</v>
      </c>
      <c r="D548" s="118">
        <v>21</v>
      </c>
      <c r="E548" s="230">
        <v>134520</v>
      </c>
      <c r="F548" s="231">
        <f t="shared" si="17"/>
        <v>2824920</v>
      </c>
    </row>
    <row r="549" spans="1:6" x14ac:dyDescent="0.2">
      <c r="A549" s="116">
        <v>26</v>
      </c>
      <c r="B549" s="114" t="s">
        <v>123</v>
      </c>
      <c r="C549" s="115"/>
      <c r="D549" s="115"/>
      <c r="E549" s="230"/>
      <c r="F549" s="231" t="s">
        <v>0</v>
      </c>
    </row>
    <row r="550" spans="1:6" ht="25.5" x14ac:dyDescent="0.2">
      <c r="A550" s="128">
        <v>27</v>
      </c>
      <c r="B550" s="127" t="s">
        <v>72</v>
      </c>
      <c r="C550" s="117" t="s">
        <v>302</v>
      </c>
      <c r="D550" s="118">
        <v>1</v>
      </c>
      <c r="E550" s="230">
        <v>562312</v>
      </c>
      <c r="F550" s="231">
        <f t="shared" si="17"/>
        <v>562312</v>
      </c>
    </row>
    <row r="551" spans="1:6" x14ac:dyDescent="0.2">
      <c r="A551" s="116">
        <v>28</v>
      </c>
      <c r="B551" s="123" t="s">
        <v>652</v>
      </c>
      <c r="C551" s="117" t="s">
        <v>302</v>
      </c>
      <c r="D551" s="118">
        <v>15</v>
      </c>
      <c r="E551" s="230">
        <v>763644</v>
      </c>
      <c r="F551" s="231">
        <f t="shared" si="17"/>
        <v>11454660</v>
      </c>
    </row>
    <row r="552" spans="1:6" x14ac:dyDescent="0.2">
      <c r="A552" s="128">
        <v>29</v>
      </c>
      <c r="B552" s="114" t="s">
        <v>74</v>
      </c>
      <c r="C552" s="115"/>
      <c r="D552" s="115"/>
      <c r="E552" s="230"/>
      <c r="F552" s="231" t="s">
        <v>0</v>
      </c>
    </row>
    <row r="553" spans="1:6" x14ac:dyDescent="0.2">
      <c r="A553" s="116">
        <v>30</v>
      </c>
      <c r="B553" s="121" t="s">
        <v>135</v>
      </c>
      <c r="C553" s="117" t="s">
        <v>136</v>
      </c>
      <c r="D553" s="118">
        <v>18</v>
      </c>
      <c r="E553" s="230">
        <v>5484</v>
      </c>
      <c r="F553" s="231">
        <f t="shared" si="17"/>
        <v>98712</v>
      </c>
    </row>
    <row r="554" spans="1:6" ht="25.5" x14ac:dyDescent="0.2">
      <c r="A554" s="128">
        <v>31</v>
      </c>
      <c r="B554" s="127" t="s">
        <v>137</v>
      </c>
      <c r="C554" s="117" t="s">
        <v>99</v>
      </c>
      <c r="D554" s="118">
        <v>1.25</v>
      </c>
      <c r="E554" s="230">
        <v>1351872</v>
      </c>
      <c r="F554" s="231">
        <f t="shared" si="17"/>
        <v>1689840</v>
      </c>
    </row>
    <row r="555" spans="1:6" x14ac:dyDescent="0.2">
      <c r="A555" s="128"/>
      <c r="B555" s="114" t="s">
        <v>30</v>
      </c>
      <c r="C555" s="113"/>
      <c r="D555" s="124"/>
      <c r="E555" s="152"/>
      <c r="F555" s="125">
        <f>ROUND(SUM(F524:F554),0)</f>
        <v>32334933</v>
      </c>
    </row>
    <row r="556" spans="1:6" x14ac:dyDescent="0.2">
      <c r="A556" s="126"/>
      <c r="B556" s="126"/>
      <c r="C556" s="126"/>
      <c r="D556" s="126"/>
      <c r="E556" s="126"/>
      <c r="F556" s="126"/>
    </row>
    <row r="557" spans="1:6" x14ac:dyDescent="0.2">
      <c r="A557" s="77" t="s">
        <v>78</v>
      </c>
      <c r="B557" s="109"/>
      <c r="C557" s="109"/>
      <c r="D557" s="109"/>
      <c r="E557" s="109"/>
      <c r="F557" s="111">
        <f>ROUND(F555/1.3495,0)</f>
        <v>23960677</v>
      </c>
    </row>
    <row r="558" spans="1:6" x14ac:dyDescent="0.2">
      <c r="A558" s="77" t="s">
        <v>79</v>
      </c>
      <c r="B558" s="109"/>
      <c r="C558" s="109"/>
      <c r="D558" s="112">
        <v>0.24</v>
      </c>
      <c r="E558" s="109"/>
      <c r="F558" s="111">
        <f>ROUND(F557*D558,0)</f>
        <v>5750562</v>
      </c>
    </row>
    <row r="559" spans="1:6" x14ac:dyDescent="0.2">
      <c r="A559" s="77" t="s">
        <v>32</v>
      </c>
      <c r="B559" s="109"/>
      <c r="C559" s="109"/>
      <c r="D559" s="112">
        <v>0.05</v>
      </c>
      <c r="E559" s="109"/>
      <c r="F559" s="111">
        <f>ROUND(F557*D559,0)</f>
        <v>1198034</v>
      </c>
    </row>
    <row r="560" spans="1:6" x14ac:dyDescent="0.2">
      <c r="A560" s="77" t="s">
        <v>80</v>
      </c>
      <c r="B560" s="85"/>
      <c r="C560" s="85"/>
      <c r="D560" s="112">
        <v>0.05</v>
      </c>
      <c r="E560" s="85"/>
      <c r="F560" s="111">
        <f>ROUND(F557*D560,0)</f>
        <v>1198034</v>
      </c>
    </row>
    <row r="561" spans="1:6" x14ac:dyDescent="0.2">
      <c r="A561" s="77" t="s">
        <v>81</v>
      </c>
      <c r="B561" s="85"/>
      <c r="C561" s="85"/>
      <c r="D561" s="112"/>
      <c r="E561" s="85"/>
      <c r="F561" s="111">
        <f>ROUND(SUM(F557:F560),0)</f>
        <v>32107307</v>
      </c>
    </row>
    <row r="562" spans="1:6" x14ac:dyDescent="0.2">
      <c r="A562" s="77" t="s">
        <v>82</v>
      </c>
      <c r="B562" s="85"/>
      <c r="C562" s="85"/>
      <c r="D562" s="112">
        <v>0.19</v>
      </c>
      <c r="E562" s="85"/>
      <c r="F562" s="111">
        <f>ROUND(F560*D562,0)</f>
        <v>227626</v>
      </c>
    </row>
    <row r="563" spans="1:6" x14ac:dyDescent="0.2">
      <c r="A563" s="88" t="s">
        <v>83</v>
      </c>
      <c r="B563" s="88"/>
      <c r="C563" s="88"/>
      <c r="D563" s="88"/>
      <c r="E563" s="88"/>
      <c r="F563" s="111">
        <f>ROUND(SUM(F561+F562),0)</f>
        <v>32334933</v>
      </c>
    </row>
    <row r="566" spans="1:6" x14ac:dyDescent="0.2">
      <c r="A566" s="632" t="s">
        <v>8</v>
      </c>
      <c r="B566" s="632"/>
      <c r="C566" s="632"/>
      <c r="D566" s="632"/>
      <c r="E566" s="632"/>
      <c r="F566" s="632"/>
    </row>
    <row r="567" spans="1:6" x14ac:dyDescent="0.2">
      <c r="A567" s="627" t="s">
        <v>15</v>
      </c>
      <c r="B567" s="627" t="s">
        <v>16</v>
      </c>
      <c r="C567" s="627" t="s">
        <v>33</v>
      </c>
      <c r="D567" s="627" t="s">
        <v>34</v>
      </c>
      <c r="E567" s="627"/>
      <c r="F567" s="627"/>
    </row>
    <row r="568" spans="1:6" x14ac:dyDescent="0.2">
      <c r="A568" s="627"/>
      <c r="B568" s="627"/>
      <c r="C568" s="627"/>
      <c r="D568" s="113" t="s">
        <v>35</v>
      </c>
      <c r="E568" s="113" t="s">
        <v>36</v>
      </c>
      <c r="F568" s="113" t="s">
        <v>37</v>
      </c>
    </row>
    <row r="569" spans="1:6" x14ac:dyDescent="0.2">
      <c r="A569" s="128">
        <v>1</v>
      </c>
      <c r="B569" s="114" t="s">
        <v>38</v>
      </c>
      <c r="C569" s="627"/>
      <c r="D569" s="627"/>
      <c r="E569" s="627"/>
      <c r="F569" s="115"/>
    </row>
    <row r="570" spans="1:6" ht="25.5" x14ac:dyDescent="0.2">
      <c r="A570" s="116">
        <v>2</v>
      </c>
      <c r="B570" s="127" t="s">
        <v>108</v>
      </c>
      <c r="C570" s="117" t="s">
        <v>22</v>
      </c>
      <c r="D570" s="118">
        <v>96</v>
      </c>
      <c r="E570" s="230">
        <v>4843</v>
      </c>
      <c r="F570" s="231">
        <f t="shared" ref="F570:F595" si="18">ROUND(D570*E570,0)</f>
        <v>464928</v>
      </c>
    </row>
    <row r="571" spans="1:6" ht="25.5" x14ac:dyDescent="0.2">
      <c r="A571" s="128">
        <v>3</v>
      </c>
      <c r="B571" s="121" t="s">
        <v>18</v>
      </c>
      <c r="C571" s="117" t="s">
        <v>22</v>
      </c>
      <c r="D571" s="118">
        <v>204</v>
      </c>
      <c r="E571" s="119">
        <v>12600</v>
      </c>
      <c r="F571" s="231">
        <f t="shared" si="18"/>
        <v>2570400</v>
      </c>
    </row>
    <row r="572" spans="1:6" ht="16.5" customHeight="1" x14ac:dyDescent="0.2">
      <c r="A572" s="116">
        <v>4</v>
      </c>
      <c r="B572" s="127" t="s">
        <v>19</v>
      </c>
      <c r="C572" s="117" t="s">
        <v>45</v>
      </c>
      <c r="D572" s="118">
        <v>2</v>
      </c>
      <c r="E572" s="230">
        <v>144273</v>
      </c>
      <c r="F572" s="231">
        <f t="shared" si="18"/>
        <v>288546</v>
      </c>
    </row>
    <row r="573" spans="1:6" ht="19.5" customHeight="1" x14ac:dyDescent="0.2">
      <c r="A573" s="128">
        <v>5</v>
      </c>
      <c r="B573" s="127" t="s">
        <v>110</v>
      </c>
      <c r="C573" s="117" t="s">
        <v>45</v>
      </c>
      <c r="D573" s="118">
        <v>1</v>
      </c>
      <c r="E573" s="230">
        <v>730341</v>
      </c>
      <c r="F573" s="231">
        <f t="shared" si="18"/>
        <v>730341</v>
      </c>
    </row>
    <row r="574" spans="1:6" x14ac:dyDescent="0.2">
      <c r="A574" s="116">
        <v>6</v>
      </c>
      <c r="B574" s="114" t="s">
        <v>48</v>
      </c>
      <c r="C574" s="115"/>
      <c r="D574" s="115"/>
      <c r="E574" s="230"/>
      <c r="F574" s="231" t="s">
        <v>0</v>
      </c>
    </row>
    <row r="575" spans="1:6" x14ac:dyDescent="0.2">
      <c r="A575" s="128">
        <v>7</v>
      </c>
      <c r="B575" s="120" t="s">
        <v>111</v>
      </c>
      <c r="C575" s="117" t="s">
        <v>22</v>
      </c>
      <c r="D575" s="118">
        <v>352</v>
      </c>
      <c r="E575" s="230">
        <v>7086</v>
      </c>
      <c r="F575" s="231">
        <f t="shared" si="18"/>
        <v>2494272</v>
      </c>
    </row>
    <row r="576" spans="1:6" ht="38.25" x14ac:dyDescent="0.2">
      <c r="A576" s="116">
        <v>8</v>
      </c>
      <c r="B576" s="127" t="s">
        <v>112</v>
      </c>
      <c r="C576" s="117" t="s">
        <v>302</v>
      </c>
      <c r="D576" s="118">
        <v>13</v>
      </c>
      <c r="E576" s="230">
        <v>77371</v>
      </c>
      <c r="F576" s="231">
        <f t="shared" si="18"/>
        <v>1005823</v>
      </c>
    </row>
    <row r="577" spans="1:6" x14ac:dyDescent="0.2">
      <c r="A577" s="128">
        <v>9</v>
      </c>
      <c r="B577" s="114" t="s">
        <v>51</v>
      </c>
      <c r="C577" s="115"/>
      <c r="D577" s="115"/>
      <c r="E577" s="230"/>
      <c r="F577" s="231" t="s">
        <v>0</v>
      </c>
    </row>
    <row r="578" spans="1:6" x14ac:dyDescent="0.2">
      <c r="A578" s="116">
        <v>10</v>
      </c>
      <c r="B578" s="121" t="s">
        <v>113</v>
      </c>
      <c r="C578" s="117" t="s">
        <v>302</v>
      </c>
      <c r="D578" s="118">
        <v>60</v>
      </c>
      <c r="E578" s="230">
        <v>24440</v>
      </c>
      <c r="F578" s="231">
        <f t="shared" si="18"/>
        <v>1466400</v>
      </c>
    </row>
    <row r="579" spans="1:6" ht="25.5" x14ac:dyDescent="0.2">
      <c r="A579" s="128">
        <v>11</v>
      </c>
      <c r="B579" s="127" t="s">
        <v>21</v>
      </c>
      <c r="C579" s="117" t="s">
        <v>302</v>
      </c>
      <c r="D579" s="118">
        <v>40</v>
      </c>
      <c r="E579" s="230">
        <v>30415</v>
      </c>
      <c r="F579" s="231">
        <f t="shared" si="18"/>
        <v>1216600</v>
      </c>
    </row>
    <row r="580" spans="1:6" x14ac:dyDescent="0.2">
      <c r="A580" s="116">
        <v>12</v>
      </c>
      <c r="B580" s="114" t="s">
        <v>114</v>
      </c>
      <c r="C580" s="115"/>
      <c r="D580" s="115"/>
      <c r="E580" s="230"/>
      <c r="F580" s="231" t="s">
        <v>0</v>
      </c>
    </row>
    <row r="581" spans="1:6" ht="22.5" customHeight="1" x14ac:dyDescent="0.2">
      <c r="A581" s="128">
        <v>13</v>
      </c>
      <c r="B581" s="127" t="s">
        <v>201</v>
      </c>
      <c r="C581" s="117" t="s">
        <v>22</v>
      </c>
      <c r="D581" s="118">
        <v>96</v>
      </c>
      <c r="E581" s="230">
        <f>1835*2</f>
        <v>3670</v>
      </c>
      <c r="F581" s="231">
        <f t="shared" si="18"/>
        <v>352320</v>
      </c>
    </row>
    <row r="582" spans="1:6" ht="29.25" customHeight="1" x14ac:dyDescent="0.2">
      <c r="A582" s="116">
        <v>14</v>
      </c>
      <c r="B582" s="127" t="s">
        <v>115</v>
      </c>
      <c r="C582" s="117" t="s">
        <v>116</v>
      </c>
      <c r="D582" s="118">
        <v>20</v>
      </c>
      <c r="E582" s="230">
        <v>38925</v>
      </c>
      <c r="F582" s="231">
        <f t="shared" si="18"/>
        <v>778500</v>
      </c>
    </row>
    <row r="583" spans="1:6" x14ac:dyDescent="0.2">
      <c r="A583" s="128">
        <v>15</v>
      </c>
      <c r="B583" s="122" t="s">
        <v>203</v>
      </c>
      <c r="C583" s="117" t="s">
        <v>116</v>
      </c>
      <c r="D583" s="118">
        <v>1</v>
      </c>
      <c r="E583" s="230">
        <v>194622</v>
      </c>
      <c r="F583" s="231">
        <f t="shared" si="18"/>
        <v>194622</v>
      </c>
    </row>
    <row r="584" spans="1:6" ht="38.25" x14ac:dyDescent="0.2">
      <c r="A584" s="116">
        <v>16</v>
      </c>
      <c r="B584" s="121" t="s">
        <v>646</v>
      </c>
      <c r="C584" s="117" t="s">
        <v>116</v>
      </c>
      <c r="D584" s="118">
        <v>1</v>
      </c>
      <c r="E584" s="230">
        <v>320000</v>
      </c>
      <c r="F584" s="231">
        <f t="shared" si="18"/>
        <v>320000</v>
      </c>
    </row>
    <row r="585" spans="1:6" x14ac:dyDescent="0.2">
      <c r="A585" s="128">
        <v>17</v>
      </c>
      <c r="B585" s="123" t="s">
        <v>142</v>
      </c>
      <c r="C585" s="117" t="s">
        <v>45</v>
      </c>
      <c r="D585" s="118">
        <v>2</v>
      </c>
      <c r="E585" s="230">
        <v>83874</v>
      </c>
      <c r="F585" s="231">
        <f t="shared" si="18"/>
        <v>167748</v>
      </c>
    </row>
    <row r="586" spans="1:6" x14ac:dyDescent="0.2">
      <c r="A586" s="116">
        <v>18</v>
      </c>
      <c r="B586" s="114" t="s">
        <v>120</v>
      </c>
      <c r="C586" s="115"/>
      <c r="D586" s="115"/>
      <c r="E586" s="230"/>
      <c r="F586" s="231" t="s">
        <v>0</v>
      </c>
    </row>
    <row r="587" spans="1:6" x14ac:dyDescent="0.2">
      <c r="A587" s="128">
        <v>19</v>
      </c>
      <c r="B587" s="123" t="s">
        <v>25</v>
      </c>
      <c r="C587" s="117" t="s">
        <v>302</v>
      </c>
      <c r="D587" s="118">
        <v>9</v>
      </c>
      <c r="E587" s="230">
        <v>112055</v>
      </c>
      <c r="F587" s="231">
        <f t="shared" si="18"/>
        <v>1008495</v>
      </c>
    </row>
    <row r="588" spans="1:6" ht="25.5" x14ac:dyDescent="0.2">
      <c r="A588" s="116">
        <v>20</v>
      </c>
      <c r="B588" s="127" t="s">
        <v>121</v>
      </c>
      <c r="C588" s="117" t="s">
        <v>302</v>
      </c>
      <c r="D588" s="118">
        <v>32</v>
      </c>
      <c r="E588" s="230">
        <v>20553</v>
      </c>
      <c r="F588" s="231">
        <f t="shared" si="18"/>
        <v>657696</v>
      </c>
    </row>
    <row r="589" spans="1:6" x14ac:dyDescent="0.2">
      <c r="A589" s="128">
        <v>21</v>
      </c>
      <c r="B589" s="123" t="s">
        <v>143</v>
      </c>
      <c r="C589" s="117" t="s">
        <v>302</v>
      </c>
      <c r="D589" s="118">
        <v>18</v>
      </c>
      <c r="E589" s="230">
        <v>134520</v>
      </c>
      <c r="F589" s="231">
        <f t="shared" si="18"/>
        <v>2421360</v>
      </c>
    </row>
    <row r="590" spans="1:6" x14ac:dyDescent="0.2">
      <c r="A590" s="116">
        <v>22</v>
      </c>
      <c r="B590" s="114" t="s">
        <v>123</v>
      </c>
      <c r="C590" s="115"/>
      <c r="D590" s="115"/>
      <c r="E590" s="230"/>
      <c r="F590" s="231" t="s">
        <v>0</v>
      </c>
    </row>
    <row r="591" spans="1:6" ht="25.5" x14ac:dyDescent="0.2">
      <c r="A591" s="128">
        <v>23</v>
      </c>
      <c r="B591" s="127" t="s">
        <v>72</v>
      </c>
      <c r="C591" s="117" t="s">
        <v>302</v>
      </c>
      <c r="D591" s="118">
        <v>1</v>
      </c>
      <c r="E591" s="230">
        <v>562312</v>
      </c>
      <c r="F591" s="231">
        <f t="shared" si="18"/>
        <v>562312</v>
      </c>
    </row>
    <row r="592" spans="1:6" x14ac:dyDescent="0.2">
      <c r="A592" s="116">
        <v>24</v>
      </c>
      <c r="B592" s="127" t="s">
        <v>689</v>
      </c>
      <c r="C592" s="117" t="s">
        <v>302</v>
      </c>
      <c r="D592" s="118">
        <v>13</v>
      </c>
      <c r="E592" s="230">
        <v>763644</v>
      </c>
      <c r="F592" s="231">
        <f t="shared" si="18"/>
        <v>9927372</v>
      </c>
    </row>
    <row r="593" spans="1:6" x14ac:dyDescent="0.2">
      <c r="A593" s="128">
        <v>25</v>
      </c>
      <c r="B593" s="114" t="s">
        <v>74</v>
      </c>
      <c r="C593" s="115"/>
      <c r="D593" s="115"/>
      <c r="E593" s="230"/>
      <c r="F593" s="231" t="s">
        <v>0</v>
      </c>
    </row>
    <row r="594" spans="1:6" x14ac:dyDescent="0.2">
      <c r="A594" s="116">
        <v>26</v>
      </c>
      <c r="B594" s="127" t="s">
        <v>135</v>
      </c>
      <c r="C594" s="117" t="s">
        <v>136</v>
      </c>
      <c r="D594" s="118">
        <v>18</v>
      </c>
      <c r="E594" s="230">
        <v>5484</v>
      </c>
      <c r="F594" s="231">
        <f t="shared" si="18"/>
        <v>98712</v>
      </c>
    </row>
    <row r="595" spans="1:6" ht="25.5" x14ac:dyDescent="0.2">
      <c r="A595" s="128">
        <v>27</v>
      </c>
      <c r="B595" s="127" t="s">
        <v>137</v>
      </c>
      <c r="C595" s="117" t="s">
        <v>99</v>
      </c>
      <c r="D595" s="118">
        <v>1.25</v>
      </c>
      <c r="E595" s="230">
        <v>1351872</v>
      </c>
      <c r="F595" s="231">
        <f t="shared" si="18"/>
        <v>1689840</v>
      </c>
    </row>
    <row r="596" spans="1:6" x14ac:dyDescent="0.2">
      <c r="A596" s="128"/>
      <c r="B596" s="114" t="s">
        <v>30</v>
      </c>
      <c r="C596" s="113"/>
      <c r="D596" s="124"/>
      <c r="E596" s="152"/>
      <c r="F596" s="125">
        <f>ROUND(SUM(F565:F595),0)</f>
        <v>28416287</v>
      </c>
    </row>
    <row r="597" spans="1:6" x14ac:dyDescent="0.2">
      <c r="A597" s="126"/>
      <c r="B597" s="126"/>
      <c r="C597" s="126"/>
      <c r="D597" s="126"/>
      <c r="E597" s="126"/>
      <c r="F597" s="126"/>
    </row>
    <row r="598" spans="1:6" x14ac:dyDescent="0.2">
      <c r="A598" s="77" t="s">
        <v>78</v>
      </c>
      <c r="B598" s="109"/>
      <c r="C598" s="109"/>
      <c r="D598" s="109"/>
      <c r="E598" s="109"/>
      <c r="F598" s="111">
        <f>ROUND(F596/1.3495,0)</f>
        <v>21056900</v>
      </c>
    </row>
    <row r="599" spans="1:6" x14ac:dyDescent="0.2">
      <c r="A599" s="77" t="s">
        <v>79</v>
      </c>
      <c r="B599" s="109"/>
      <c r="C599" s="109"/>
      <c r="D599" s="112">
        <v>0.24</v>
      </c>
      <c r="E599" s="109"/>
      <c r="F599" s="111">
        <f>ROUND(F598*D599,0)</f>
        <v>5053656</v>
      </c>
    </row>
    <row r="600" spans="1:6" x14ac:dyDescent="0.2">
      <c r="A600" s="77" t="s">
        <v>32</v>
      </c>
      <c r="B600" s="109"/>
      <c r="C600" s="109"/>
      <c r="D600" s="112">
        <v>0.05</v>
      </c>
      <c r="E600" s="109"/>
      <c r="F600" s="111">
        <f>ROUND(F598*D600,0)</f>
        <v>1052845</v>
      </c>
    </row>
    <row r="601" spans="1:6" x14ac:dyDescent="0.2">
      <c r="A601" s="77" t="s">
        <v>80</v>
      </c>
      <c r="B601" s="85"/>
      <c r="C601" s="85"/>
      <c r="D601" s="112">
        <v>0.05</v>
      </c>
      <c r="E601" s="85"/>
      <c r="F601" s="111">
        <f>ROUND(F598*D601,0)</f>
        <v>1052845</v>
      </c>
    </row>
    <row r="602" spans="1:6" x14ac:dyDescent="0.2">
      <c r="A602" s="77" t="s">
        <v>81</v>
      </c>
      <c r="B602" s="85"/>
      <c r="C602" s="85"/>
      <c r="D602" s="112"/>
      <c r="E602" s="85"/>
      <c r="F602" s="111">
        <f>ROUND(SUM(F598:F601),0)</f>
        <v>28216246</v>
      </c>
    </row>
    <row r="603" spans="1:6" x14ac:dyDescent="0.2">
      <c r="A603" s="77" t="s">
        <v>82</v>
      </c>
      <c r="B603" s="85"/>
      <c r="C603" s="85"/>
      <c r="D603" s="112">
        <v>0.19</v>
      </c>
      <c r="E603" s="85"/>
      <c r="F603" s="111">
        <f>ROUND(F601*D603,0)</f>
        <v>200041</v>
      </c>
    </row>
    <row r="604" spans="1:6" x14ac:dyDescent="0.2">
      <c r="A604" s="88" t="s">
        <v>83</v>
      </c>
      <c r="B604" s="88"/>
      <c r="C604" s="88"/>
      <c r="D604" s="88"/>
      <c r="E604" s="88"/>
      <c r="F604" s="111">
        <f>ROUND(SUM(F602+F603),0)</f>
        <v>28416287</v>
      </c>
    </row>
    <row r="607" spans="1:6" x14ac:dyDescent="0.2">
      <c r="A607" s="632" t="s">
        <v>9</v>
      </c>
      <c r="B607" s="632"/>
      <c r="C607" s="632"/>
      <c r="D607" s="632"/>
      <c r="E607" s="632"/>
      <c r="F607" s="632"/>
    </row>
    <row r="608" spans="1:6" x14ac:dyDescent="0.2">
      <c r="A608" s="627" t="s">
        <v>15</v>
      </c>
      <c r="B608" s="627" t="s">
        <v>16</v>
      </c>
      <c r="C608" s="627" t="s">
        <v>33</v>
      </c>
      <c r="D608" s="627" t="s">
        <v>34</v>
      </c>
      <c r="E608" s="627"/>
      <c r="F608" s="627"/>
    </row>
    <row r="609" spans="1:6" x14ac:dyDescent="0.2">
      <c r="A609" s="627"/>
      <c r="B609" s="627"/>
      <c r="C609" s="627"/>
      <c r="D609" s="113" t="s">
        <v>35</v>
      </c>
      <c r="E609" s="113" t="s">
        <v>36</v>
      </c>
      <c r="F609" s="113" t="s">
        <v>37</v>
      </c>
    </row>
    <row r="610" spans="1:6" x14ac:dyDescent="0.2">
      <c r="A610" s="128">
        <v>1</v>
      </c>
      <c r="B610" s="114" t="s">
        <v>38</v>
      </c>
      <c r="C610" s="627"/>
      <c r="D610" s="627"/>
      <c r="E610" s="627"/>
      <c r="F610" s="115"/>
    </row>
    <row r="611" spans="1:6" ht="25.5" x14ac:dyDescent="0.2">
      <c r="A611" s="116">
        <v>2</v>
      </c>
      <c r="B611" s="127" t="s">
        <v>108</v>
      </c>
      <c r="C611" s="117" t="s">
        <v>22</v>
      </c>
      <c r="D611" s="118">
        <v>96</v>
      </c>
      <c r="E611" s="230">
        <v>4843</v>
      </c>
      <c r="F611" s="231">
        <f t="shared" ref="F611:F636" si="19">ROUND(D611*E611,0)</f>
        <v>464928</v>
      </c>
    </row>
    <row r="612" spans="1:6" ht="25.5" x14ac:dyDescent="0.2">
      <c r="A612" s="128">
        <v>3</v>
      </c>
      <c r="B612" s="121" t="s">
        <v>18</v>
      </c>
      <c r="C612" s="117" t="s">
        <v>22</v>
      </c>
      <c r="D612" s="118">
        <v>204</v>
      </c>
      <c r="E612" s="119">
        <v>12600</v>
      </c>
      <c r="F612" s="231">
        <f t="shared" si="19"/>
        <v>2570400</v>
      </c>
    </row>
    <row r="613" spans="1:6" x14ac:dyDescent="0.2">
      <c r="A613" s="116">
        <v>4</v>
      </c>
      <c r="B613" s="123" t="s">
        <v>19</v>
      </c>
      <c r="C613" s="117" t="s">
        <v>45</v>
      </c>
      <c r="D613" s="118">
        <v>2</v>
      </c>
      <c r="E613" s="230">
        <v>144273</v>
      </c>
      <c r="F613" s="231">
        <f t="shared" si="19"/>
        <v>288546</v>
      </c>
    </row>
    <row r="614" spans="1:6" ht="18" customHeight="1" x14ac:dyDescent="0.2">
      <c r="A614" s="128">
        <v>5</v>
      </c>
      <c r="B614" s="127" t="s">
        <v>110</v>
      </c>
      <c r="C614" s="117" t="s">
        <v>45</v>
      </c>
      <c r="D614" s="118">
        <v>1</v>
      </c>
      <c r="E614" s="230">
        <v>730341</v>
      </c>
      <c r="F614" s="231">
        <f t="shared" si="19"/>
        <v>730341</v>
      </c>
    </row>
    <row r="615" spans="1:6" x14ac:dyDescent="0.2">
      <c r="A615" s="116">
        <v>6</v>
      </c>
      <c r="B615" s="114" t="s">
        <v>48</v>
      </c>
      <c r="C615" s="115"/>
      <c r="D615" s="115"/>
      <c r="E615" s="230"/>
      <c r="F615" s="231" t="s">
        <v>0</v>
      </c>
    </row>
    <row r="616" spans="1:6" x14ac:dyDescent="0.2">
      <c r="A616" s="128">
        <v>7</v>
      </c>
      <c r="B616" s="147" t="s">
        <v>111</v>
      </c>
      <c r="C616" s="117" t="s">
        <v>22</v>
      </c>
      <c r="D616" s="118">
        <v>512</v>
      </c>
      <c r="E616" s="230">
        <v>7086</v>
      </c>
      <c r="F616" s="231">
        <f t="shared" si="19"/>
        <v>3628032</v>
      </c>
    </row>
    <row r="617" spans="1:6" ht="45" customHeight="1" x14ac:dyDescent="0.2">
      <c r="A617" s="116">
        <v>8</v>
      </c>
      <c r="B617" s="127" t="s">
        <v>112</v>
      </c>
      <c r="C617" s="117" t="s">
        <v>302</v>
      </c>
      <c r="D617" s="118">
        <v>18</v>
      </c>
      <c r="E617" s="230">
        <v>77371</v>
      </c>
      <c r="F617" s="231">
        <f t="shared" si="19"/>
        <v>1392678</v>
      </c>
    </row>
    <row r="618" spans="1:6" x14ac:dyDescent="0.2">
      <c r="A618" s="128">
        <v>9</v>
      </c>
      <c r="B618" s="114" t="s">
        <v>51</v>
      </c>
      <c r="C618" s="115"/>
      <c r="D618" s="115"/>
      <c r="E618" s="230"/>
      <c r="F618" s="231" t="s">
        <v>0</v>
      </c>
    </row>
    <row r="619" spans="1:6" x14ac:dyDescent="0.2">
      <c r="A619" s="116">
        <v>10</v>
      </c>
      <c r="B619" s="123" t="s">
        <v>113</v>
      </c>
      <c r="C619" s="117" t="s">
        <v>302</v>
      </c>
      <c r="D619" s="118">
        <v>72</v>
      </c>
      <c r="E619" s="230">
        <v>24440</v>
      </c>
      <c r="F619" s="231">
        <f t="shared" si="19"/>
        <v>1759680</v>
      </c>
    </row>
    <row r="620" spans="1:6" ht="25.5" x14ac:dyDescent="0.2">
      <c r="A620" s="128">
        <v>11</v>
      </c>
      <c r="B620" s="127" t="s">
        <v>21</v>
      </c>
      <c r="C620" s="117" t="s">
        <v>302</v>
      </c>
      <c r="D620" s="118">
        <v>51</v>
      </c>
      <c r="E620" s="230">
        <v>30415</v>
      </c>
      <c r="F620" s="231">
        <f t="shared" si="19"/>
        <v>1551165</v>
      </c>
    </row>
    <row r="621" spans="1:6" x14ac:dyDescent="0.2">
      <c r="A621" s="116">
        <v>12</v>
      </c>
      <c r="B621" s="114" t="s">
        <v>114</v>
      </c>
      <c r="C621" s="115"/>
      <c r="D621" s="115"/>
      <c r="E621" s="230"/>
      <c r="F621" s="231" t="s">
        <v>0</v>
      </c>
    </row>
    <row r="622" spans="1:6" x14ac:dyDescent="0.2">
      <c r="A622" s="128">
        <v>13</v>
      </c>
      <c r="B622" s="123" t="s">
        <v>201</v>
      </c>
      <c r="C622" s="117" t="s">
        <v>22</v>
      </c>
      <c r="D622" s="118">
        <v>96</v>
      </c>
      <c r="E622" s="230">
        <f>1835*2</f>
        <v>3670</v>
      </c>
      <c r="F622" s="231">
        <f t="shared" si="19"/>
        <v>352320</v>
      </c>
    </row>
    <row r="623" spans="1:6" ht="25.5" x14ac:dyDescent="0.2">
      <c r="A623" s="116">
        <v>14</v>
      </c>
      <c r="B623" s="127" t="s">
        <v>115</v>
      </c>
      <c r="C623" s="117" t="s">
        <v>116</v>
      </c>
      <c r="D623" s="118">
        <v>40</v>
      </c>
      <c r="E623" s="230">
        <v>40</v>
      </c>
      <c r="F623" s="231">
        <f t="shared" si="19"/>
        <v>1600</v>
      </c>
    </row>
    <row r="624" spans="1:6" x14ac:dyDescent="0.2">
      <c r="A624" s="128">
        <v>15</v>
      </c>
      <c r="B624" s="122" t="s">
        <v>203</v>
      </c>
      <c r="C624" s="117" t="s">
        <v>116</v>
      </c>
      <c r="D624" s="118">
        <v>1</v>
      </c>
      <c r="E624" s="230">
        <v>194622</v>
      </c>
      <c r="F624" s="231">
        <f t="shared" si="19"/>
        <v>194622</v>
      </c>
    </row>
    <row r="625" spans="1:6" ht="39" customHeight="1" x14ac:dyDescent="0.2">
      <c r="A625" s="116">
        <v>16</v>
      </c>
      <c r="B625" s="127" t="s">
        <v>200</v>
      </c>
      <c r="C625" s="117" t="s">
        <v>116</v>
      </c>
      <c r="D625" s="118">
        <v>1</v>
      </c>
      <c r="E625" s="230">
        <v>320000</v>
      </c>
      <c r="F625" s="231">
        <f t="shared" si="19"/>
        <v>320000</v>
      </c>
    </row>
    <row r="626" spans="1:6" x14ac:dyDescent="0.2">
      <c r="A626" s="128">
        <v>17</v>
      </c>
      <c r="B626" s="123" t="s">
        <v>142</v>
      </c>
      <c r="C626" s="117" t="s">
        <v>45</v>
      </c>
      <c r="D626" s="118">
        <v>2</v>
      </c>
      <c r="E626" s="230">
        <v>83874</v>
      </c>
      <c r="F626" s="231">
        <f t="shared" si="19"/>
        <v>167748</v>
      </c>
    </row>
    <row r="627" spans="1:6" x14ac:dyDescent="0.2">
      <c r="A627" s="116">
        <v>18</v>
      </c>
      <c r="B627" s="114" t="s">
        <v>120</v>
      </c>
      <c r="C627" s="115"/>
      <c r="D627" s="115"/>
      <c r="E627" s="230"/>
      <c r="F627" s="231" t="s">
        <v>0</v>
      </c>
    </row>
    <row r="628" spans="1:6" x14ac:dyDescent="0.2">
      <c r="A628" s="128">
        <v>19</v>
      </c>
      <c r="B628" s="123" t="s">
        <v>25</v>
      </c>
      <c r="C628" s="117" t="s">
        <v>302</v>
      </c>
      <c r="D628" s="118">
        <v>9</v>
      </c>
      <c r="E628" s="230">
        <v>112055</v>
      </c>
      <c r="F628" s="231">
        <f t="shared" si="19"/>
        <v>1008495</v>
      </c>
    </row>
    <row r="629" spans="1:6" ht="25.5" x14ac:dyDescent="0.2">
      <c r="A629" s="116">
        <v>20</v>
      </c>
      <c r="B629" s="127" t="s">
        <v>121</v>
      </c>
      <c r="C629" s="117" t="s">
        <v>302</v>
      </c>
      <c r="D629" s="118">
        <v>38</v>
      </c>
      <c r="E629" s="230">
        <v>20553</v>
      </c>
      <c r="F629" s="231">
        <f t="shared" si="19"/>
        <v>781014</v>
      </c>
    </row>
    <row r="630" spans="1:6" x14ac:dyDescent="0.2">
      <c r="A630" s="128">
        <v>21</v>
      </c>
      <c r="B630" s="123" t="s">
        <v>143</v>
      </c>
      <c r="C630" s="117" t="s">
        <v>302</v>
      </c>
      <c r="D630" s="118">
        <v>24</v>
      </c>
      <c r="E630" s="230">
        <v>134520</v>
      </c>
      <c r="F630" s="231">
        <f t="shared" si="19"/>
        <v>3228480</v>
      </c>
    </row>
    <row r="631" spans="1:6" x14ac:dyDescent="0.2">
      <c r="A631" s="116">
        <v>22</v>
      </c>
      <c r="B631" s="114" t="s">
        <v>123</v>
      </c>
      <c r="C631" s="115"/>
      <c r="D631" s="115"/>
      <c r="E631" s="230"/>
      <c r="F631" s="231" t="s">
        <v>0</v>
      </c>
    </row>
    <row r="632" spans="1:6" ht="25.5" x14ac:dyDescent="0.2">
      <c r="A632" s="128">
        <v>23</v>
      </c>
      <c r="B632" s="127" t="s">
        <v>72</v>
      </c>
      <c r="C632" s="117" t="s">
        <v>302</v>
      </c>
      <c r="D632" s="118">
        <v>1</v>
      </c>
      <c r="E632" s="230">
        <v>562312</v>
      </c>
      <c r="F632" s="231">
        <f t="shared" si="19"/>
        <v>562312</v>
      </c>
    </row>
    <row r="633" spans="1:6" x14ac:dyDescent="0.2">
      <c r="A633" s="116">
        <v>24</v>
      </c>
      <c r="B633" s="123" t="s">
        <v>689</v>
      </c>
      <c r="C633" s="117" t="s">
        <v>302</v>
      </c>
      <c r="D633" s="118">
        <v>18</v>
      </c>
      <c r="E633" s="230">
        <v>763644</v>
      </c>
      <c r="F633" s="231">
        <f t="shared" si="19"/>
        <v>13745592</v>
      </c>
    </row>
    <row r="634" spans="1:6" x14ac:dyDescent="0.2">
      <c r="A634" s="128">
        <v>25</v>
      </c>
      <c r="B634" s="114" t="s">
        <v>74</v>
      </c>
      <c r="C634" s="115"/>
      <c r="D634" s="115"/>
      <c r="E634" s="230"/>
      <c r="F634" s="231" t="s">
        <v>0</v>
      </c>
    </row>
    <row r="635" spans="1:6" x14ac:dyDescent="0.2">
      <c r="A635" s="116">
        <v>26</v>
      </c>
      <c r="B635" s="123" t="s">
        <v>135</v>
      </c>
      <c r="C635" s="117" t="s">
        <v>136</v>
      </c>
      <c r="D635" s="118">
        <v>18</v>
      </c>
      <c r="E635" s="230">
        <v>5484</v>
      </c>
      <c r="F635" s="231">
        <f t="shared" si="19"/>
        <v>98712</v>
      </c>
    </row>
    <row r="636" spans="1:6" ht="25.5" x14ac:dyDescent="0.2">
      <c r="A636" s="128">
        <v>27</v>
      </c>
      <c r="B636" s="127" t="s">
        <v>137</v>
      </c>
      <c r="C636" s="117" t="s">
        <v>99</v>
      </c>
      <c r="D636" s="118">
        <v>1.25</v>
      </c>
      <c r="E636" s="230">
        <v>1351872</v>
      </c>
      <c r="F636" s="231">
        <f t="shared" si="19"/>
        <v>1689840</v>
      </c>
    </row>
    <row r="637" spans="1:6" x14ac:dyDescent="0.2">
      <c r="A637" s="128"/>
      <c r="B637" s="114" t="s">
        <v>30</v>
      </c>
      <c r="C637" s="113"/>
      <c r="D637" s="124"/>
      <c r="E637" s="152"/>
      <c r="F637" s="125">
        <f>ROUND(SUM(F606:F636),0)</f>
        <v>34536505</v>
      </c>
    </row>
    <row r="638" spans="1:6" x14ac:dyDescent="0.2">
      <c r="A638" s="126"/>
      <c r="B638" s="126"/>
      <c r="C638" s="126"/>
      <c r="D638" s="126"/>
      <c r="E638" s="126"/>
      <c r="F638" s="126"/>
    </row>
    <row r="639" spans="1:6" x14ac:dyDescent="0.2">
      <c r="A639" s="77" t="s">
        <v>78</v>
      </c>
      <c r="B639" s="109"/>
      <c r="C639" s="109"/>
      <c r="D639" s="109"/>
      <c r="E639" s="109"/>
      <c r="F639" s="111">
        <f>ROUND(F637/1.3495,0)</f>
        <v>25592075</v>
      </c>
    </row>
    <row r="640" spans="1:6" x14ac:dyDescent="0.2">
      <c r="A640" s="77" t="s">
        <v>79</v>
      </c>
      <c r="B640" s="109"/>
      <c r="C640" s="109"/>
      <c r="D640" s="112">
        <v>0.24</v>
      </c>
      <c r="E640" s="109"/>
      <c r="F640" s="111">
        <f>ROUND(F639*D640,0)</f>
        <v>6142098</v>
      </c>
    </row>
    <row r="641" spans="1:6" x14ac:dyDescent="0.2">
      <c r="A641" s="77" t="s">
        <v>32</v>
      </c>
      <c r="B641" s="109"/>
      <c r="C641" s="109"/>
      <c r="D641" s="112">
        <v>0.05</v>
      </c>
      <c r="E641" s="109"/>
      <c r="F641" s="111">
        <f>ROUND(F639*D641,0)</f>
        <v>1279604</v>
      </c>
    </row>
    <row r="642" spans="1:6" x14ac:dyDescent="0.2">
      <c r="A642" s="77" t="s">
        <v>80</v>
      </c>
      <c r="B642" s="85"/>
      <c r="C642" s="85"/>
      <c r="D642" s="112">
        <v>0.05</v>
      </c>
      <c r="E642" s="85"/>
      <c r="F642" s="111">
        <f>ROUND(F639*D642,0)</f>
        <v>1279604</v>
      </c>
    </row>
    <row r="643" spans="1:6" x14ac:dyDescent="0.2">
      <c r="A643" s="77" t="s">
        <v>81</v>
      </c>
      <c r="B643" s="85"/>
      <c r="C643" s="85"/>
      <c r="D643" s="112"/>
      <c r="E643" s="85"/>
      <c r="F643" s="111">
        <f>ROUND(SUM(F639:F642),0)</f>
        <v>34293381</v>
      </c>
    </row>
    <row r="644" spans="1:6" x14ac:dyDescent="0.2">
      <c r="A644" s="77" t="s">
        <v>82</v>
      </c>
      <c r="B644" s="85"/>
      <c r="C644" s="85"/>
      <c r="D644" s="112">
        <v>0.19</v>
      </c>
      <c r="E644" s="85"/>
      <c r="F644" s="111">
        <f>ROUND(F642*D644,0)</f>
        <v>243125</v>
      </c>
    </row>
    <row r="645" spans="1:6" x14ac:dyDescent="0.2">
      <c r="A645" s="88" t="s">
        <v>83</v>
      </c>
      <c r="B645" s="88"/>
      <c r="C645" s="88"/>
      <c r="D645" s="88"/>
      <c r="E645" s="88"/>
      <c r="F645" s="111">
        <f>ROUND(SUM(F643+F644),0)</f>
        <v>34536506</v>
      </c>
    </row>
    <row r="647" spans="1:6" x14ac:dyDescent="0.2">
      <c r="A647" s="632" t="s">
        <v>774</v>
      </c>
      <c r="B647" s="632"/>
      <c r="C647" s="632"/>
      <c r="D647" s="632"/>
      <c r="E647" s="632"/>
      <c r="F647" s="632"/>
    </row>
    <row r="648" spans="1:6" x14ac:dyDescent="0.2">
      <c r="A648" s="627" t="s">
        <v>15</v>
      </c>
      <c r="B648" s="627" t="s">
        <v>16</v>
      </c>
      <c r="C648" s="627" t="s">
        <v>33</v>
      </c>
      <c r="D648" s="627" t="s">
        <v>34</v>
      </c>
      <c r="E648" s="627"/>
      <c r="F648" s="627"/>
    </row>
    <row r="649" spans="1:6" x14ac:dyDescent="0.2">
      <c r="A649" s="627"/>
      <c r="B649" s="627"/>
      <c r="C649" s="627"/>
      <c r="D649" s="113" t="s">
        <v>35</v>
      </c>
      <c r="E649" s="113" t="s">
        <v>36</v>
      </c>
      <c r="F649" s="113" t="s">
        <v>37</v>
      </c>
    </row>
    <row r="650" spans="1:6" x14ac:dyDescent="0.2">
      <c r="A650" s="128" t="s">
        <v>0</v>
      </c>
      <c r="B650" s="114" t="s">
        <v>0</v>
      </c>
      <c r="C650" s="627"/>
      <c r="D650" s="627"/>
      <c r="E650" s="627"/>
      <c r="F650" s="115"/>
    </row>
    <row r="651" spans="1:6" x14ac:dyDescent="0.2">
      <c r="A651" s="116">
        <v>1</v>
      </c>
      <c r="B651" s="127" t="s">
        <v>413</v>
      </c>
      <c r="C651" s="117" t="s">
        <v>14</v>
      </c>
      <c r="D651" s="235">
        <v>20</v>
      </c>
      <c r="E651" s="230">
        <v>70000</v>
      </c>
      <c r="F651" s="230">
        <f>D651*E651</f>
        <v>1400000</v>
      </c>
    </row>
    <row r="652" spans="1:6" ht="38.25" x14ac:dyDescent="0.2">
      <c r="A652" s="128">
        <v>2</v>
      </c>
      <c r="B652" s="121" t="s">
        <v>414</v>
      </c>
      <c r="C652" s="117" t="s">
        <v>14</v>
      </c>
      <c r="D652" s="235">
        <v>400</v>
      </c>
      <c r="E652" s="119">
        <v>18000</v>
      </c>
      <c r="F652" s="230">
        <f t="shared" ref="F652:F657" si="20">D652*E652</f>
        <v>7200000</v>
      </c>
    </row>
    <row r="653" spans="1:6" ht="28.5" customHeight="1" x14ac:dyDescent="0.2">
      <c r="A653" s="116">
        <v>3</v>
      </c>
      <c r="B653" s="127" t="s">
        <v>690</v>
      </c>
      <c r="C653" s="117" t="s">
        <v>12</v>
      </c>
      <c r="D653" s="235">
        <v>8</v>
      </c>
      <c r="E653" s="230">
        <v>1200000</v>
      </c>
      <c r="F653" s="230">
        <f t="shared" si="20"/>
        <v>9600000</v>
      </c>
    </row>
    <row r="654" spans="1:6" ht="25.5" x14ac:dyDescent="0.2">
      <c r="A654" s="128">
        <v>4</v>
      </c>
      <c r="B654" s="127" t="s">
        <v>692</v>
      </c>
      <c r="C654" s="117" t="s">
        <v>130</v>
      </c>
      <c r="D654" s="235">
        <v>1000</v>
      </c>
      <c r="E654" s="230">
        <v>5500</v>
      </c>
      <c r="F654" s="230">
        <f t="shared" si="20"/>
        <v>5500000</v>
      </c>
    </row>
    <row r="655" spans="1:6" ht="38.25" x14ac:dyDescent="0.2">
      <c r="A655" s="116">
        <v>5</v>
      </c>
      <c r="B655" s="127" t="s">
        <v>691</v>
      </c>
      <c r="C655" s="116" t="s">
        <v>75</v>
      </c>
      <c r="D655" s="236">
        <v>200</v>
      </c>
      <c r="E655" s="230">
        <v>15000</v>
      </c>
      <c r="F655" s="230">
        <f t="shared" si="20"/>
        <v>3000000</v>
      </c>
    </row>
    <row r="656" spans="1:6" x14ac:dyDescent="0.2">
      <c r="A656" s="116">
        <v>6</v>
      </c>
      <c r="B656" s="147" t="s">
        <v>415</v>
      </c>
      <c r="C656" s="117" t="s">
        <v>329</v>
      </c>
      <c r="D656" s="237">
        <v>12</v>
      </c>
      <c r="E656" s="230">
        <v>30000</v>
      </c>
      <c r="F656" s="230">
        <f t="shared" si="20"/>
        <v>360000</v>
      </c>
    </row>
    <row r="657" spans="1:6" ht="38.25" x14ac:dyDescent="0.2">
      <c r="A657" s="116">
        <v>7</v>
      </c>
      <c r="B657" s="121" t="s">
        <v>775</v>
      </c>
      <c r="C657" s="117" t="s">
        <v>12</v>
      </c>
      <c r="D657" s="118">
        <v>20</v>
      </c>
      <c r="E657" s="230">
        <v>650000</v>
      </c>
      <c r="F657" s="230">
        <f t="shared" si="20"/>
        <v>13000000</v>
      </c>
    </row>
    <row r="658" spans="1:6" x14ac:dyDescent="0.2">
      <c r="A658" s="128"/>
      <c r="B658" s="114" t="s">
        <v>30</v>
      </c>
      <c r="C658" s="113"/>
      <c r="D658" s="124"/>
      <c r="E658" s="152"/>
      <c r="F658" s="125">
        <f>ROUND(SUM(F651:F657),0)</f>
        <v>40060000</v>
      </c>
    </row>
    <row r="659" spans="1:6" x14ac:dyDescent="0.2">
      <c r="A659" s="126"/>
      <c r="B659" s="126"/>
      <c r="C659" s="126"/>
      <c r="D659" s="126"/>
      <c r="E659" s="126"/>
      <c r="F659" s="126"/>
    </row>
    <row r="660" spans="1:6" x14ac:dyDescent="0.2">
      <c r="A660" s="77" t="s">
        <v>78</v>
      </c>
      <c r="B660" s="109"/>
      <c r="C660" s="109"/>
      <c r="D660" s="109"/>
      <c r="E660" s="109"/>
      <c r="F660" s="111">
        <f>ROUND(F658/1.3495,0)</f>
        <v>29685069</v>
      </c>
    </row>
    <row r="661" spans="1:6" x14ac:dyDescent="0.2">
      <c r="A661" s="77" t="s">
        <v>79</v>
      </c>
      <c r="B661" s="109"/>
      <c r="C661" s="109"/>
      <c r="D661" s="112">
        <v>0.24</v>
      </c>
      <c r="E661" s="109"/>
      <c r="F661" s="111">
        <f>ROUND(F660*D661,0)</f>
        <v>7124417</v>
      </c>
    </row>
    <row r="662" spans="1:6" x14ac:dyDescent="0.2">
      <c r="A662" s="77" t="s">
        <v>32</v>
      </c>
      <c r="B662" s="109"/>
      <c r="C662" s="109"/>
      <c r="D662" s="112">
        <v>0.05</v>
      </c>
      <c r="E662" s="109"/>
      <c r="F662" s="111">
        <f>ROUND(F660*D662,0)</f>
        <v>1484253</v>
      </c>
    </row>
    <row r="663" spans="1:6" x14ac:dyDescent="0.2">
      <c r="A663" s="77" t="s">
        <v>80</v>
      </c>
      <c r="B663" s="85"/>
      <c r="C663" s="85"/>
      <c r="D663" s="112">
        <v>0.05</v>
      </c>
      <c r="E663" s="85"/>
      <c r="F663" s="111">
        <f>ROUND(F660*D663,0)</f>
        <v>1484253</v>
      </c>
    </row>
    <row r="664" spans="1:6" x14ac:dyDescent="0.2">
      <c r="A664" s="77" t="s">
        <v>81</v>
      </c>
      <c r="B664" s="85"/>
      <c r="C664" s="85"/>
      <c r="D664" s="112"/>
      <c r="E664" s="85"/>
      <c r="F664" s="111">
        <f>ROUND(SUM(F660:F663),0)</f>
        <v>39777992</v>
      </c>
    </row>
    <row r="665" spans="1:6" x14ac:dyDescent="0.2">
      <c r="A665" s="77" t="s">
        <v>82</v>
      </c>
      <c r="B665" s="85"/>
      <c r="C665" s="85"/>
      <c r="D665" s="112">
        <v>0.19</v>
      </c>
      <c r="E665" s="85"/>
      <c r="F665" s="111">
        <f>ROUND(F663*D665,0)</f>
        <v>282008</v>
      </c>
    </row>
    <row r="666" spans="1:6" x14ac:dyDescent="0.2">
      <c r="A666" s="88" t="s">
        <v>76</v>
      </c>
      <c r="B666" s="88"/>
      <c r="C666" s="88"/>
      <c r="D666" s="88"/>
      <c r="E666" s="88"/>
      <c r="F666" s="111">
        <f>ROUND(SUM(F664+F665),0)</f>
        <v>40060000</v>
      </c>
    </row>
    <row r="669" spans="1:6" x14ac:dyDescent="0.2">
      <c r="A669" s="632" t="s">
        <v>441</v>
      </c>
      <c r="B669" s="632"/>
      <c r="C669" s="632"/>
      <c r="D669" s="632"/>
      <c r="E669" s="632"/>
      <c r="F669" s="632"/>
    </row>
    <row r="670" spans="1:6" x14ac:dyDescent="0.2">
      <c r="A670" s="627" t="s">
        <v>15</v>
      </c>
      <c r="B670" s="627" t="s">
        <v>16</v>
      </c>
      <c r="C670" s="627" t="s">
        <v>33</v>
      </c>
      <c r="D670" s="627" t="s">
        <v>34</v>
      </c>
      <c r="E670" s="627"/>
      <c r="F670" s="627"/>
    </row>
    <row r="671" spans="1:6" x14ac:dyDescent="0.2">
      <c r="A671" s="627"/>
      <c r="B671" s="627"/>
      <c r="C671" s="627"/>
      <c r="D671" s="113" t="s">
        <v>35</v>
      </c>
      <c r="E671" s="113" t="s">
        <v>36</v>
      </c>
      <c r="F671" s="113" t="s">
        <v>37</v>
      </c>
    </row>
    <row r="672" spans="1:6" x14ac:dyDescent="0.2">
      <c r="A672" s="128">
        <v>1</v>
      </c>
      <c r="B672" s="114" t="s">
        <v>38</v>
      </c>
      <c r="C672" s="627"/>
      <c r="D672" s="627"/>
      <c r="E672" s="627"/>
      <c r="F672" s="115"/>
    </row>
    <row r="673" spans="1:6" ht="25.5" x14ac:dyDescent="0.2">
      <c r="A673" s="128">
        <v>2</v>
      </c>
      <c r="B673" s="127" t="s">
        <v>146</v>
      </c>
      <c r="C673" s="117" t="s">
        <v>22</v>
      </c>
      <c r="D673" s="118">
        <v>333</v>
      </c>
      <c r="E673" s="230">
        <v>4843</v>
      </c>
      <c r="F673" s="230">
        <f>ROUND(D673*E673,0)</f>
        <v>1612719</v>
      </c>
    </row>
    <row r="674" spans="1:6" x14ac:dyDescent="0.2">
      <c r="A674" s="128">
        <v>3</v>
      </c>
      <c r="B674" s="123" t="s">
        <v>442</v>
      </c>
      <c r="C674" s="117" t="s">
        <v>22</v>
      </c>
      <c r="D674" s="118">
        <v>200</v>
      </c>
      <c r="E674" s="230">
        <v>1500</v>
      </c>
      <c r="F674" s="230">
        <f t="shared" ref="F674:F702" si="21">ROUND(D674*E674,0)</f>
        <v>300000</v>
      </c>
    </row>
    <row r="675" spans="1:6" ht="30.75" customHeight="1" x14ac:dyDescent="0.2">
      <c r="A675" s="128">
        <v>4</v>
      </c>
      <c r="B675" s="121" t="s">
        <v>18</v>
      </c>
      <c r="C675" s="117" t="s">
        <v>22</v>
      </c>
      <c r="D675" s="118">
        <v>338</v>
      </c>
      <c r="E675" s="119">
        <v>12600</v>
      </c>
      <c r="F675" s="230">
        <f t="shared" si="21"/>
        <v>4258800</v>
      </c>
    </row>
    <row r="676" spans="1:6" x14ac:dyDescent="0.2">
      <c r="A676" s="128">
        <v>5</v>
      </c>
      <c r="B676" s="123" t="s">
        <v>19</v>
      </c>
      <c r="C676" s="117" t="s">
        <v>45</v>
      </c>
      <c r="D676" s="118">
        <v>2</v>
      </c>
      <c r="E676" s="230">
        <v>144273</v>
      </c>
      <c r="F676" s="230">
        <f t="shared" si="21"/>
        <v>288546</v>
      </c>
    </row>
    <row r="677" spans="1:6" x14ac:dyDescent="0.2">
      <c r="A677" s="128">
        <v>6</v>
      </c>
      <c r="B677" s="123" t="s">
        <v>20</v>
      </c>
      <c r="C677" s="117" t="s">
        <v>45</v>
      </c>
      <c r="D677" s="118">
        <v>1</v>
      </c>
      <c r="E677" s="230">
        <v>730341</v>
      </c>
      <c r="F677" s="230">
        <f t="shared" si="21"/>
        <v>730341</v>
      </c>
    </row>
    <row r="678" spans="1:6" x14ac:dyDescent="0.2">
      <c r="A678" s="128">
        <v>7</v>
      </c>
      <c r="B678" s="114" t="s">
        <v>48</v>
      </c>
      <c r="C678" s="115"/>
      <c r="D678" s="115"/>
      <c r="E678" s="230"/>
      <c r="F678" s="230" t="s">
        <v>0</v>
      </c>
    </row>
    <row r="679" spans="1:6" x14ac:dyDescent="0.2">
      <c r="A679" s="128">
        <v>8</v>
      </c>
      <c r="B679" s="147" t="s">
        <v>111</v>
      </c>
      <c r="C679" s="117" t="s">
        <v>22</v>
      </c>
      <c r="D679" s="118">
        <v>41</v>
      </c>
      <c r="E679" s="230">
        <v>7086</v>
      </c>
      <c r="F679" s="230">
        <f t="shared" si="21"/>
        <v>290526</v>
      </c>
    </row>
    <row r="680" spans="1:6" ht="39.75" customHeight="1" x14ac:dyDescent="0.2">
      <c r="A680" s="128">
        <v>9</v>
      </c>
      <c r="B680" s="127" t="s">
        <v>192</v>
      </c>
      <c r="C680" s="117" t="s">
        <v>302</v>
      </c>
      <c r="D680" s="118">
        <v>4</v>
      </c>
      <c r="E680" s="230">
        <v>77371</v>
      </c>
      <c r="F680" s="230">
        <f t="shared" si="21"/>
        <v>309484</v>
      </c>
    </row>
    <row r="681" spans="1:6" x14ac:dyDescent="0.2">
      <c r="A681" s="128">
        <v>10</v>
      </c>
      <c r="B681" s="114" t="s">
        <v>51</v>
      </c>
      <c r="C681" s="115"/>
      <c r="D681" s="115"/>
      <c r="E681" s="230"/>
      <c r="F681" s="230" t="s">
        <v>0</v>
      </c>
    </row>
    <row r="682" spans="1:6" x14ac:dyDescent="0.2">
      <c r="A682" s="128">
        <v>11</v>
      </c>
      <c r="B682" s="123" t="s">
        <v>147</v>
      </c>
      <c r="C682" s="117" t="s">
        <v>302</v>
      </c>
      <c r="D682" s="118">
        <v>140</v>
      </c>
      <c r="E682" s="230">
        <v>24440</v>
      </c>
      <c r="F682" s="230">
        <f t="shared" si="21"/>
        <v>3421600</v>
      </c>
    </row>
    <row r="683" spans="1:6" x14ac:dyDescent="0.2">
      <c r="A683" s="128">
        <v>12</v>
      </c>
      <c r="B683" s="123" t="s">
        <v>139</v>
      </c>
      <c r="C683" s="117" t="s">
        <v>302</v>
      </c>
      <c r="D683" s="118">
        <v>20</v>
      </c>
      <c r="E683" s="230">
        <v>27047</v>
      </c>
      <c r="F683" s="230">
        <f t="shared" si="21"/>
        <v>540940</v>
      </c>
    </row>
    <row r="684" spans="1:6" x14ac:dyDescent="0.2">
      <c r="A684" s="128">
        <v>13</v>
      </c>
      <c r="B684" s="123" t="s">
        <v>443</v>
      </c>
      <c r="C684" s="117" t="s">
        <v>22</v>
      </c>
      <c r="D684" s="118">
        <v>20</v>
      </c>
      <c r="E684" s="230">
        <v>28910</v>
      </c>
      <c r="F684" s="230">
        <f t="shared" si="21"/>
        <v>578200</v>
      </c>
    </row>
    <row r="685" spans="1:6" ht="25.5" x14ac:dyDescent="0.2">
      <c r="A685" s="128">
        <v>14</v>
      </c>
      <c r="B685" s="127" t="s">
        <v>384</v>
      </c>
      <c r="C685" s="117" t="s">
        <v>302</v>
      </c>
      <c r="D685" s="118">
        <v>76</v>
      </c>
      <c r="E685" s="230">
        <v>30415</v>
      </c>
      <c r="F685" s="230">
        <f t="shared" si="21"/>
        <v>2311540</v>
      </c>
    </row>
    <row r="686" spans="1:6" x14ac:dyDescent="0.2">
      <c r="A686" s="128">
        <v>15</v>
      </c>
      <c r="B686" s="114" t="s">
        <v>114</v>
      </c>
      <c r="C686" s="115"/>
      <c r="D686" s="115"/>
      <c r="E686" s="230"/>
      <c r="F686" s="230" t="s">
        <v>0</v>
      </c>
    </row>
    <row r="687" spans="1:6" ht="25.5" x14ac:dyDescent="0.2">
      <c r="A687" s="128">
        <v>16</v>
      </c>
      <c r="B687" s="127" t="s">
        <v>444</v>
      </c>
      <c r="C687" s="117" t="s">
        <v>22</v>
      </c>
      <c r="D687" s="118">
        <v>330</v>
      </c>
      <c r="E687" s="230">
        <v>7500</v>
      </c>
      <c r="F687" s="230">
        <f t="shared" si="21"/>
        <v>2475000</v>
      </c>
    </row>
    <row r="688" spans="1:6" x14ac:dyDescent="0.2">
      <c r="A688" s="128">
        <v>17</v>
      </c>
      <c r="B688" s="122" t="s">
        <v>445</v>
      </c>
      <c r="C688" s="117" t="s">
        <v>116</v>
      </c>
      <c r="D688" s="118">
        <v>5</v>
      </c>
      <c r="E688" s="230">
        <v>194622</v>
      </c>
      <c r="F688" s="230">
        <f t="shared" si="21"/>
        <v>973110</v>
      </c>
    </row>
    <row r="689" spans="1:6" ht="38.25" x14ac:dyDescent="0.2">
      <c r="A689" s="128">
        <v>18</v>
      </c>
      <c r="B689" s="127" t="s">
        <v>446</v>
      </c>
      <c r="C689" s="117" t="s">
        <v>116</v>
      </c>
      <c r="D689" s="118">
        <v>5</v>
      </c>
      <c r="E689" s="230">
        <v>320000</v>
      </c>
      <c r="F689" s="230">
        <f t="shared" si="21"/>
        <v>1600000</v>
      </c>
    </row>
    <row r="690" spans="1:6" x14ac:dyDescent="0.2">
      <c r="A690" s="128">
        <v>19</v>
      </c>
      <c r="B690" s="123" t="s">
        <v>309</v>
      </c>
      <c r="C690" s="117" t="s">
        <v>45</v>
      </c>
      <c r="D690" s="118">
        <v>2</v>
      </c>
      <c r="E690" s="230">
        <v>250000</v>
      </c>
      <c r="F690" s="230">
        <f t="shared" si="21"/>
        <v>500000</v>
      </c>
    </row>
    <row r="691" spans="1:6" x14ac:dyDescent="0.2">
      <c r="A691" s="128">
        <v>20</v>
      </c>
      <c r="B691" s="114" t="s">
        <v>120</v>
      </c>
      <c r="C691" s="115"/>
      <c r="D691" s="115"/>
      <c r="E691" s="230"/>
      <c r="F691" s="230" t="s">
        <v>0</v>
      </c>
    </row>
    <row r="692" spans="1:6" x14ac:dyDescent="0.2">
      <c r="A692" s="128">
        <v>21</v>
      </c>
      <c r="B692" s="123" t="s">
        <v>25</v>
      </c>
      <c r="C692" s="117" t="s">
        <v>302</v>
      </c>
      <c r="D692" s="118">
        <v>15</v>
      </c>
      <c r="E692" s="230">
        <v>112055</v>
      </c>
      <c r="F692" s="230">
        <f t="shared" si="21"/>
        <v>1680825</v>
      </c>
    </row>
    <row r="693" spans="1:6" ht="25.5" x14ac:dyDescent="0.2">
      <c r="A693" s="128">
        <v>22</v>
      </c>
      <c r="B693" s="127" t="s">
        <v>121</v>
      </c>
      <c r="C693" s="117" t="s">
        <v>302</v>
      </c>
      <c r="D693" s="118">
        <v>90</v>
      </c>
      <c r="E693" s="230">
        <v>20553</v>
      </c>
      <c r="F693" s="230">
        <f t="shared" si="21"/>
        <v>1849770</v>
      </c>
    </row>
    <row r="694" spans="1:6" x14ac:dyDescent="0.2">
      <c r="A694" s="128">
        <v>23</v>
      </c>
      <c r="B694" s="123" t="s">
        <v>143</v>
      </c>
      <c r="C694" s="117" t="s">
        <v>302</v>
      </c>
      <c r="D694" s="118">
        <v>4.5</v>
      </c>
      <c r="E694" s="230">
        <v>134520</v>
      </c>
      <c r="F694" s="230">
        <f t="shared" si="21"/>
        <v>605340</v>
      </c>
    </row>
    <row r="695" spans="1:6" x14ac:dyDescent="0.2">
      <c r="A695" s="128">
        <v>24</v>
      </c>
      <c r="B695" s="114" t="s">
        <v>123</v>
      </c>
      <c r="C695" s="115"/>
      <c r="D695" s="115"/>
      <c r="E695" s="230"/>
      <c r="F695" s="230" t="s">
        <v>0</v>
      </c>
    </row>
    <row r="696" spans="1:6" ht="25.5" x14ac:dyDescent="0.2">
      <c r="A696" s="128">
        <v>25</v>
      </c>
      <c r="B696" s="127" t="s">
        <v>447</v>
      </c>
      <c r="C696" s="117" t="s">
        <v>302</v>
      </c>
      <c r="D696" s="118">
        <v>5</v>
      </c>
      <c r="E696" s="230">
        <v>763644</v>
      </c>
      <c r="F696" s="230">
        <f t="shared" si="21"/>
        <v>3818220</v>
      </c>
    </row>
    <row r="697" spans="1:6" ht="54" customHeight="1" x14ac:dyDescent="0.2">
      <c r="A697" s="128">
        <v>26</v>
      </c>
      <c r="B697" s="121" t="s">
        <v>448</v>
      </c>
      <c r="C697" s="117" t="s">
        <v>22</v>
      </c>
      <c r="D697" s="126">
        <v>12</v>
      </c>
      <c r="E697" s="119">
        <v>194930</v>
      </c>
      <c r="F697" s="230">
        <f t="shared" si="21"/>
        <v>2339160</v>
      </c>
    </row>
    <row r="698" spans="1:6" x14ac:dyDescent="0.2">
      <c r="A698" s="128">
        <v>27</v>
      </c>
      <c r="B698" s="114" t="s">
        <v>74</v>
      </c>
      <c r="C698" s="115"/>
      <c r="D698" s="115"/>
      <c r="E698" s="230"/>
      <c r="F698" s="230" t="s">
        <v>0</v>
      </c>
    </row>
    <row r="699" spans="1:6" ht="25.5" x14ac:dyDescent="0.2">
      <c r="A699" s="128">
        <v>28</v>
      </c>
      <c r="B699" s="127" t="s">
        <v>449</v>
      </c>
      <c r="C699" s="117" t="s">
        <v>22</v>
      </c>
      <c r="D699" s="118">
        <v>12</v>
      </c>
      <c r="E699" s="119">
        <v>277778</v>
      </c>
      <c r="F699" s="230">
        <f t="shared" si="21"/>
        <v>3333336</v>
      </c>
    </row>
    <row r="700" spans="1:6" x14ac:dyDescent="0.2">
      <c r="A700" s="128">
        <v>29</v>
      </c>
      <c r="B700" s="123" t="s">
        <v>450</v>
      </c>
      <c r="C700" s="117" t="s">
        <v>136</v>
      </c>
      <c r="D700" s="118">
        <v>120</v>
      </c>
      <c r="E700" s="230">
        <v>5484</v>
      </c>
      <c r="F700" s="230">
        <f t="shared" si="21"/>
        <v>658080</v>
      </c>
    </row>
    <row r="701" spans="1:6" ht="63.75" x14ac:dyDescent="0.2">
      <c r="A701" s="128">
        <v>30</v>
      </c>
      <c r="B701" s="121" t="s">
        <v>451</v>
      </c>
      <c r="C701" s="117" t="s">
        <v>22</v>
      </c>
      <c r="D701" s="118">
        <v>200</v>
      </c>
      <c r="E701" s="230">
        <v>22000</v>
      </c>
      <c r="F701" s="230">
        <f t="shared" si="21"/>
        <v>4400000</v>
      </c>
    </row>
    <row r="702" spans="1:6" ht="24.75" customHeight="1" x14ac:dyDescent="0.2">
      <c r="A702" s="128">
        <v>31</v>
      </c>
      <c r="B702" s="127" t="s">
        <v>137</v>
      </c>
      <c r="C702" s="117" t="s">
        <v>99</v>
      </c>
      <c r="D702" s="118">
        <v>1</v>
      </c>
      <c r="E702" s="230">
        <v>1351872</v>
      </c>
      <c r="F702" s="230">
        <f t="shared" si="21"/>
        <v>1351872</v>
      </c>
    </row>
    <row r="703" spans="1:6" x14ac:dyDescent="0.2">
      <c r="A703" s="128"/>
      <c r="B703" s="114" t="s">
        <v>30</v>
      </c>
      <c r="C703" s="113"/>
      <c r="D703" s="124"/>
      <c r="E703" s="152"/>
      <c r="F703" s="125">
        <f>ROUND(SUM(F672:F702),0)</f>
        <v>40227409</v>
      </c>
    </row>
    <row r="704" spans="1:6" x14ac:dyDescent="0.2">
      <c r="A704" s="77" t="s">
        <v>78</v>
      </c>
      <c r="B704" s="109"/>
      <c r="C704" s="109"/>
      <c r="D704" s="109"/>
      <c r="E704" s="109"/>
      <c r="F704" s="111">
        <f>ROUND(F703/1.3495,0)</f>
        <v>29809121</v>
      </c>
    </row>
    <row r="705" spans="1:6" x14ac:dyDescent="0.2">
      <c r="A705" s="77" t="s">
        <v>79</v>
      </c>
      <c r="B705" s="109"/>
      <c r="C705" s="109"/>
      <c r="D705" s="112">
        <v>0.24</v>
      </c>
      <c r="E705" s="109"/>
      <c r="F705" s="111">
        <f>ROUND(F704*D705,0)</f>
        <v>7154189</v>
      </c>
    </row>
    <row r="706" spans="1:6" x14ac:dyDescent="0.2">
      <c r="A706" s="77" t="s">
        <v>32</v>
      </c>
      <c r="B706" s="109"/>
      <c r="C706" s="109"/>
      <c r="D706" s="112">
        <v>0.05</v>
      </c>
      <c r="E706" s="109"/>
      <c r="F706" s="111">
        <f>ROUND(F704*D706,0)</f>
        <v>1490456</v>
      </c>
    </row>
    <row r="707" spans="1:6" x14ac:dyDescent="0.2">
      <c r="A707" s="77" t="s">
        <v>80</v>
      </c>
      <c r="B707" s="85"/>
      <c r="C707" s="85"/>
      <c r="D707" s="112">
        <v>0.05</v>
      </c>
      <c r="E707" s="85"/>
      <c r="F707" s="111">
        <f>ROUND(F704*D707,0)</f>
        <v>1490456</v>
      </c>
    </row>
    <row r="708" spans="1:6" x14ac:dyDescent="0.2">
      <c r="A708" s="77" t="s">
        <v>81</v>
      </c>
      <c r="B708" s="85"/>
      <c r="C708" s="85"/>
      <c r="D708" s="112"/>
      <c r="E708" s="85"/>
      <c r="F708" s="111">
        <f>ROUND(SUM(F704:F707),0)</f>
        <v>39944222</v>
      </c>
    </row>
    <row r="709" spans="1:6" x14ac:dyDescent="0.2">
      <c r="A709" s="77" t="s">
        <v>82</v>
      </c>
      <c r="B709" s="85"/>
      <c r="C709" s="85"/>
      <c r="D709" s="112">
        <v>0.19</v>
      </c>
      <c r="E709" s="85"/>
      <c r="F709" s="111">
        <f>ROUND(F707*D709,0)</f>
        <v>283187</v>
      </c>
    </row>
    <row r="710" spans="1:6" x14ac:dyDescent="0.2">
      <c r="A710" s="88" t="s">
        <v>83</v>
      </c>
      <c r="B710" s="88"/>
      <c r="C710" s="88"/>
      <c r="D710" s="88"/>
      <c r="E710" s="88"/>
      <c r="F710" s="111">
        <f>ROUND(SUM(F708+F709),0)</f>
        <v>40227409</v>
      </c>
    </row>
    <row r="713" spans="1:6" x14ac:dyDescent="0.2">
      <c r="B713" s="238" t="s">
        <v>750</v>
      </c>
      <c r="C713" s="238"/>
      <c r="D713" s="238"/>
      <c r="E713" s="239">
        <f>F31+F78</f>
        <v>85248623</v>
      </c>
    </row>
    <row r="714" spans="1:6" x14ac:dyDescent="0.2">
      <c r="B714" s="238" t="s">
        <v>751</v>
      </c>
      <c r="C714" s="238"/>
      <c r="D714" s="238"/>
      <c r="E714" s="240">
        <f>F133+F217+F170</f>
        <v>329840293</v>
      </c>
    </row>
    <row r="715" spans="1:6" x14ac:dyDescent="0.2">
      <c r="B715" s="238" t="s">
        <v>752</v>
      </c>
      <c r="C715" s="238"/>
      <c r="D715" s="238"/>
      <c r="E715" s="239">
        <f>F710+F666+F645+F604+F563+F522+F473+F440+F399+F353+F300+F262</f>
        <v>523976614</v>
      </c>
    </row>
    <row r="716" spans="1:6" x14ac:dyDescent="0.2">
      <c r="B716" s="238"/>
      <c r="C716" s="238"/>
      <c r="D716" s="238"/>
      <c r="E716" s="238"/>
    </row>
    <row r="717" spans="1:6" x14ac:dyDescent="0.2">
      <c r="B717" s="238" t="s">
        <v>753</v>
      </c>
      <c r="C717" s="238"/>
      <c r="D717" s="238"/>
      <c r="E717" s="239">
        <f>SUM(E713:E716)</f>
        <v>939065530</v>
      </c>
    </row>
    <row r="719" spans="1:6" x14ac:dyDescent="0.2">
      <c r="E719" s="606"/>
      <c r="F719" s="606" t="s">
        <v>0</v>
      </c>
    </row>
    <row r="720" spans="1:6" x14ac:dyDescent="0.2">
      <c r="E720" s="606"/>
    </row>
    <row r="721" spans="5:5" x14ac:dyDescent="0.2">
      <c r="E721" s="606"/>
    </row>
  </sheetData>
  <mergeCells count="103">
    <mergeCell ref="E141:E142"/>
    <mergeCell ref="F141:F142"/>
    <mergeCell ref="E177:E178"/>
    <mergeCell ref="F177:F178"/>
    <mergeCell ref="C672:E672"/>
    <mergeCell ref="A136:F136"/>
    <mergeCell ref="A138:F138"/>
    <mergeCell ref="A141:A142"/>
    <mergeCell ref="B141:B142"/>
    <mergeCell ref="C141:C142"/>
    <mergeCell ref="D141:D142"/>
    <mergeCell ref="A172:F172"/>
    <mergeCell ref="A174:F174"/>
    <mergeCell ref="A177:A178"/>
    <mergeCell ref="B177:B178"/>
    <mergeCell ref="C177:C178"/>
    <mergeCell ref="D177:D178"/>
    <mergeCell ref="C650:E650"/>
    <mergeCell ref="A669:F669"/>
    <mergeCell ref="A670:A671"/>
    <mergeCell ref="B670:B671"/>
    <mergeCell ref="C670:C671"/>
    <mergeCell ref="D670:F670"/>
    <mergeCell ref="A647:F647"/>
    <mergeCell ref="A648:A649"/>
    <mergeCell ref="B648:B649"/>
    <mergeCell ref="C648:C649"/>
    <mergeCell ref="D648:F648"/>
    <mergeCell ref="C610:E610"/>
    <mergeCell ref="C569:E569"/>
    <mergeCell ref="C528:E528"/>
    <mergeCell ref="A566:F566"/>
    <mergeCell ref="A567:A568"/>
    <mergeCell ref="B567:B568"/>
    <mergeCell ref="C567:C568"/>
    <mergeCell ref="D567:F567"/>
    <mergeCell ref="A607:F607"/>
    <mergeCell ref="A608:A609"/>
    <mergeCell ref="B608:B609"/>
    <mergeCell ref="C608:C609"/>
    <mergeCell ref="D608:F608"/>
    <mergeCell ref="C487:E487"/>
    <mergeCell ref="A525:F525"/>
    <mergeCell ref="A526:A527"/>
    <mergeCell ref="B526:B527"/>
    <mergeCell ref="C526:C527"/>
    <mergeCell ref="D526:F526"/>
    <mergeCell ref="C446:E446"/>
    <mergeCell ref="A484:F484"/>
    <mergeCell ref="A485:A486"/>
    <mergeCell ref="B485:B486"/>
    <mergeCell ref="C485:C486"/>
    <mergeCell ref="D485:F485"/>
    <mergeCell ref="C405:E405"/>
    <mergeCell ref="A443:F443"/>
    <mergeCell ref="A444:A445"/>
    <mergeCell ref="B444:B445"/>
    <mergeCell ref="C444:C445"/>
    <mergeCell ref="D444:F444"/>
    <mergeCell ref="C359:E359"/>
    <mergeCell ref="A402:F402"/>
    <mergeCell ref="A403:A404"/>
    <mergeCell ref="B403:B404"/>
    <mergeCell ref="C403:C404"/>
    <mergeCell ref="D403:F403"/>
    <mergeCell ref="C314:E314"/>
    <mergeCell ref="A356:F356"/>
    <mergeCell ref="A357:A358"/>
    <mergeCell ref="B357:B358"/>
    <mergeCell ref="C357:C358"/>
    <mergeCell ref="D357:F357"/>
    <mergeCell ref="C268:E268"/>
    <mergeCell ref="A311:F311"/>
    <mergeCell ref="A312:A313"/>
    <mergeCell ref="B312:B313"/>
    <mergeCell ref="C312:C313"/>
    <mergeCell ref="D312:F312"/>
    <mergeCell ref="C223:E223"/>
    <mergeCell ref="A265:F265"/>
    <mergeCell ref="A266:A267"/>
    <mergeCell ref="B266:B267"/>
    <mergeCell ref="C266:C267"/>
    <mergeCell ref="D266:F266"/>
    <mergeCell ref="A220:F220"/>
    <mergeCell ref="A221:A222"/>
    <mergeCell ref="B221:B222"/>
    <mergeCell ref="C221:C222"/>
    <mergeCell ref="D221:F221"/>
    <mergeCell ref="B3:F3"/>
    <mergeCell ref="B77:D77"/>
    <mergeCell ref="B78:E78"/>
    <mergeCell ref="C36:E36"/>
    <mergeCell ref="B72:E72"/>
    <mergeCell ref="B73:E73"/>
    <mergeCell ref="B74:D74"/>
    <mergeCell ref="B75:D75"/>
    <mergeCell ref="B76:D76"/>
    <mergeCell ref="B5:F5"/>
    <mergeCell ref="A33:F33"/>
    <mergeCell ref="A34:A35"/>
    <mergeCell ref="B34:B35"/>
    <mergeCell ref="C34:C35"/>
    <mergeCell ref="D34:F34"/>
  </mergeCells>
  <printOptions horizontalCentered="1" verticalCentered="1"/>
  <pageMargins left="0.70866141732283472" right="0.70866141732283472" top="0.27559055118110237" bottom="0.31496062992125984" header="0.31496062992125984" footer="0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36"/>
  <sheetViews>
    <sheetView showGridLines="0" topLeftCell="A346" zoomScaleNormal="100" workbookViewId="0">
      <selection activeCell="G334" sqref="G334:H336"/>
    </sheetView>
  </sheetViews>
  <sheetFormatPr baseColWidth="10" defaultRowHeight="12.75" x14ac:dyDescent="0.2"/>
  <cols>
    <col min="1" max="1" width="11.42578125" style="205"/>
    <col min="2" max="2" width="27.140625" style="205" customWidth="1"/>
    <col min="3" max="4" width="11.42578125" style="205"/>
    <col min="5" max="5" width="16" style="205" customWidth="1"/>
    <col min="6" max="6" width="18.42578125" style="205" customWidth="1"/>
    <col min="7" max="16384" width="11.42578125" style="205"/>
  </cols>
  <sheetData>
    <row r="3" spans="1:6" x14ac:dyDescent="0.2">
      <c r="B3" s="204" t="s">
        <v>755</v>
      </c>
    </row>
    <row r="6" spans="1:6" ht="36.75" customHeight="1" x14ac:dyDescent="0.2">
      <c r="A6" s="639" t="s">
        <v>85</v>
      </c>
      <c r="B6" s="639"/>
      <c r="C6" s="639"/>
      <c r="D6" s="639"/>
      <c r="E6" s="639"/>
      <c r="F6" s="639"/>
    </row>
    <row r="7" spans="1:6" ht="13.5" thickBot="1" x14ac:dyDescent="0.25">
      <c r="A7" s="54"/>
      <c r="B7" s="54"/>
      <c r="C7" s="54"/>
      <c r="D7" s="55"/>
      <c r="E7" s="56"/>
      <c r="F7" s="56"/>
    </row>
    <row r="8" spans="1:6" ht="13.5" thickBot="1" x14ac:dyDescent="0.25">
      <c r="A8" s="640" t="s">
        <v>15</v>
      </c>
      <c r="B8" s="642" t="s">
        <v>16</v>
      </c>
      <c r="C8" s="640" t="s">
        <v>33</v>
      </c>
      <c r="D8" s="644" t="s">
        <v>34</v>
      </c>
      <c r="E8" s="645"/>
      <c r="F8" s="646"/>
    </row>
    <row r="9" spans="1:6" ht="13.5" thickBot="1" x14ac:dyDescent="0.25">
      <c r="A9" s="641"/>
      <c r="B9" s="643"/>
      <c r="C9" s="641"/>
      <c r="D9" s="57" t="s">
        <v>35</v>
      </c>
      <c r="E9" s="58" t="s">
        <v>36</v>
      </c>
      <c r="F9" s="59" t="s">
        <v>37</v>
      </c>
    </row>
    <row r="10" spans="1:6" x14ac:dyDescent="0.2">
      <c r="A10" s="241">
        <v>1</v>
      </c>
      <c r="B10" s="242" t="s">
        <v>38</v>
      </c>
      <c r="C10" s="241"/>
      <c r="D10" s="243"/>
      <c r="E10" s="244"/>
      <c r="F10" s="245"/>
    </row>
    <row r="11" spans="1:6" ht="48.75" customHeight="1" x14ac:dyDescent="0.2">
      <c r="A11" s="60">
        <v>1.1000000000000001</v>
      </c>
      <c r="B11" s="61" t="s">
        <v>40</v>
      </c>
      <c r="C11" s="62" t="s">
        <v>22</v>
      </c>
      <c r="D11" s="63">
        <v>90</v>
      </c>
      <c r="E11" s="64">
        <v>4680</v>
      </c>
      <c r="F11" s="325">
        <f>ROUND((D11*E11),0)</f>
        <v>421200</v>
      </c>
    </row>
    <row r="12" spans="1:6" ht="24.75" customHeight="1" x14ac:dyDescent="0.2">
      <c r="A12" s="60">
        <v>1.2</v>
      </c>
      <c r="B12" s="61" t="s">
        <v>86</v>
      </c>
      <c r="C12" s="62" t="s">
        <v>45</v>
      </c>
      <c r="D12" s="63">
        <v>60</v>
      </c>
      <c r="E12" s="65">
        <v>16200</v>
      </c>
      <c r="F12" s="325">
        <f t="shared" ref="F12:F30" si="0">ROUND((D12*E12),0)</f>
        <v>972000</v>
      </c>
    </row>
    <row r="13" spans="1:6" ht="44.25" customHeight="1" x14ac:dyDescent="0.2">
      <c r="A13" s="60">
        <v>1.3</v>
      </c>
      <c r="B13" s="61" t="s">
        <v>87</v>
      </c>
      <c r="C13" s="62" t="s">
        <v>45</v>
      </c>
      <c r="D13" s="63">
        <v>60</v>
      </c>
      <c r="E13" s="65">
        <v>12460</v>
      </c>
      <c r="F13" s="325">
        <f t="shared" si="0"/>
        <v>747600</v>
      </c>
    </row>
    <row r="14" spans="1:6" ht="44.25" customHeight="1" x14ac:dyDescent="0.2">
      <c r="A14" s="60">
        <v>1.4</v>
      </c>
      <c r="B14" s="95" t="s">
        <v>88</v>
      </c>
      <c r="C14" s="62" t="s">
        <v>45</v>
      </c>
      <c r="D14" s="63">
        <v>1</v>
      </c>
      <c r="E14" s="65">
        <v>628000</v>
      </c>
      <c r="F14" s="325">
        <f t="shared" si="0"/>
        <v>628000</v>
      </c>
    </row>
    <row r="15" spans="1:6" x14ac:dyDescent="0.2">
      <c r="A15" s="246">
        <v>2</v>
      </c>
      <c r="B15" s="247" t="s">
        <v>51</v>
      </c>
      <c r="C15" s="248"/>
      <c r="D15" s="249"/>
      <c r="E15" s="250"/>
      <c r="F15" s="325"/>
    </row>
    <row r="16" spans="1:6" ht="28.5" customHeight="1" x14ac:dyDescent="0.2">
      <c r="A16" s="60">
        <v>2.1</v>
      </c>
      <c r="B16" s="66" t="s">
        <v>52</v>
      </c>
      <c r="C16" s="62" t="s">
        <v>749</v>
      </c>
      <c r="D16" s="63">
        <f>+ROUND(2.01*8+90*0.7*1.8,2)</f>
        <v>129.47999999999999</v>
      </c>
      <c r="E16" s="65">
        <v>24600</v>
      </c>
      <c r="F16" s="325">
        <f t="shared" si="0"/>
        <v>3185208</v>
      </c>
    </row>
    <row r="17" spans="1:6" ht="36.75" customHeight="1" x14ac:dyDescent="0.2">
      <c r="A17" s="246">
        <v>3</v>
      </c>
      <c r="B17" s="251" t="s">
        <v>54</v>
      </c>
      <c r="C17" s="248"/>
      <c r="D17" s="249"/>
      <c r="E17" s="250"/>
      <c r="F17" s="325"/>
    </row>
    <row r="18" spans="1:6" ht="52.5" customHeight="1" x14ac:dyDescent="0.2">
      <c r="A18" s="60">
        <v>3.1</v>
      </c>
      <c r="B18" s="61" t="s">
        <v>788</v>
      </c>
      <c r="C18" s="62" t="s">
        <v>22</v>
      </c>
      <c r="D18" s="63">
        <v>90</v>
      </c>
      <c r="E18" s="65">
        <v>25000</v>
      </c>
      <c r="F18" s="325">
        <f>ROUND((D18*E18),0)</f>
        <v>2250000</v>
      </c>
    </row>
    <row r="19" spans="1:6" ht="36" customHeight="1" x14ac:dyDescent="0.2">
      <c r="A19" s="246">
        <v>4</v>
      </c>
      <c r="B19" s="251" t="s">
        <v>56</v>
      </c>
      <c r="C19" s="248"/>
      <c r="D19" s="249"/>
      <c r="E19" s="250"/>
      <c r="F19" s="325"/>
    </row>
    <row r="20" spans="1:6" ht="32.25" customHeight="1" x14ac:dyDescent="0.2">
      <c r="A20" s="60">
        <v>4.0999999999999996</v>
      </c>
      <c r="B20" s="95" t="s">
        <v>57</v>
      </c>
      <c r="C20" s="62" t="s">
        <v>22</v>
      </c>
      <c r="D20" s="63">
        <v>90</v>
      </c>
      <c r="E20" s="65">
        <v>31160</v>
      </c>
      <c r="F20" s="325">
        <f>ROUND((D20*E20),0)</f>
        <v>2804400</v>
      </c>
    </row>
    <row r="21" spans="1:6" x14ac:dyDescent="0.2">
      <c r="A21" s="246">
        <v>5</v>
      </c>
      <c r="B21" s="247" t="s">
        <v>61</v>
      </c>
      <c r="C21" s="248"/>
      <c r="D21" s="249"/>
      <c r="E21" s="250"/>
      <c r="F21" s="325"/>
    </row>
    <row r="22" spans="1:6" ht="24" customHeight="1" x14ac:dyDescent="0.2">
      <c r="A22" s="60">
        <v>5.0999999999999996</v>
      </c>
      <c r="B22" s="66" t="s">
        <v>62</v>
      </c>
      <c r="C22" s="62" t="s">
        <v>749</v>
      </c>
      <c r="D22" s="63">
        <f>+D16</f>
        <v>129.47999999999999</v>
      </c>
      <c r="E22" s="65">
        <v>22600</v>
      </c>
      <c r="F22" s="325">
        <f t="shared" ref="F22:F28" si="1">ROUND((D22*E22),0)</f>
        <v>2926248</v>
      </c>
    </row>
    <row r="23" spans="1:6" ht="27.75" customHeight="1" x14ac:dyDescent="0.2">
      <c r="A23" s="60">
        <v>5.2</v>
      </c>
      <c r="B23" s="66" t="s">
        <v>63</v>
      </c>
      <c r="C23" s="62" t="s">
        <v>749</v>
      </c>
      <c r="D23" s="63">
        <f>0.11*90</f>
        <v>9.9</v>
      </c>
      <c r="E23" s="65">
        <v>93500</v>
      </c>
      <c r="F23" s="325">
        <f t="shared" si="1"/>
        <v>925650</v>
      </c>
    </row>
    <row r="24" spans="1:6" ht="14.25" customHeight="1" x14ac:dyDescent="0.2">
      <c r="A24" s="246">
        <v>6</v>
      </c>
      <c r="B24" s="247" t="s">
        <v>65</v>
      </c>
      <c r="C24" s="248"/>
      <c r="D24" s="249"/>
      <c r="E24" s="250"/>
      <c r="F24" s="325"/>
    </row>
    <row r="25" spans="1:6" ht="57.75" customHeight="1" x14ac:dyDescent="0.2">
      <c r="A25" s="60">
        <v>6.1</v>
      </c>
      <c r="B25" s="61" t="s">
        <v>66</v>
      </c>
      <c r="C25" s="62" t="s">
        <v>22</v>
      </c>
      <c r="D25" s="63">
        <f>2.2*3</f>
        <v>6.6000000000000005</v>
      </c>
      <c r="E25" s="64">
        <v>449100</v>
      </c>
      <c r="F25" s="325">
        <f t="shared" si="1"/>
        <v>2964060</v>
      </c>
    </row>
    <row r="26" spans="1:6" ht="78" customHeight="1" x14ac:dyDescent="0.2">
      <c r="A26" s="60">
        <v>6.2</v>
      </c>
      <c r="B26" s="61" t="s">
        <v>67</v>
      </c>
      <c r="C26" s="62" t="s">
        <v>22</v>
      </c>
      <c r="D26" s="63">
        <v>3</v>
      </c>
      <c r="E26" s="64">
        <v>189400</v>
      </c>
      <c r="F26" s="325">
        <f t="shared" si="1"/>
        <v>568200</v>
      </c>
    </row>
    <row r="27" spans="1:6" ht="53.25" customHeight="1" x14ac:dyDescent="0.2">
      <c r="A27" s="60">
        <v>6.3</v>
      </c>
      <c r="B27" s="61" t="s">
        <v>68</v>
      </c>
      <c r="C27" s="62" t="s">
        <v>14</v>
      </c>
      <c r="D27" s="63">
        <v>3</v>
      </c>
      <c r="E27" s="64">
        <v>491000</v>
      </c>
      <c r="F27" s="325">
        <f t="shared" si="1"/>
        <v>1473000</v>
      </c>
    </row>
    <row r="28" spans="1:6" ht="14.25" customHeight="1" x14ac:dyDescent="0.2">
      <c r="A28" s="60">
        <v>6.4</v>
      </c>
      <c r="B28" s="61" t="s">
        <v>90</v>
      </c>
      <c r="C28" s="62" t="s">
        <v>22</v>
      </c>
      <c r="D28" s="63">
        <v>2</v>
      </c>
      <c r="E28" s="64">
        <v>150000</v>
      </c>
      <c r="F28" s="325">
        <f t="shared" si="1"/>
        <v>300000</v>
      </c>
    </row>
    <row r="29" spans="1:6" ht="14.25" customHeight="1" x14ac:dyDescent="0.2">
      <c r="A29" s="246">
        <v>7</v>
      </c>
      <c r="B29" s="247" t="s">
        <v>69</v>
      </c>
      <c r="C29" s="248"/>
      <c r="D29" s="249"/>
      <c r="E29" s="250"/>
      <c r="F29" s="325"/>
    </row>
    <row r="30" spans="1:6" ht="55.5" customHeight="1" x14ac:dyDescent="0.2">
      <c r="A30" s="60">
        <v>7.1</v>
      </c>
      <c r="B30" s="61" t="s">
        <v>70</v>
      </c>
      <c r="C30" s="62" t="s">
        <v>749</v>
      </c>
      <c r="D30" s="63">
        <f>+D23+6</f>
        <v>15.9</v>
      </c>
      <c r="E30" s="65">
        <v>30400</v>
      </c>
      <c r="F30" s="325">
        <f t="shared" si="0"/>
        <v>483360</v>
      </c>
    </row>
    <row r="31" spans="1:6" x14ac:dyDescent="0.2">
      <c r="A31" s="246">
        <v>8</v>
      </c>
      <c r="B31" s="247" t="s">
        <v>74</v>
      </c>
      <c r="C31" s="248"/>
      <c r="D31" s="249"/>
      <c r="E31" s="250"/>
      <c r="F31" s="325"/>
    </row>
    <row r="32" spans="1:6" ht="60.75" customHeight="1" thickBot="1" x14ac:dyDescent="0.25">
      <c r="A32" s="67">
        <v>8.1</v>
      </c>
      <c r="B32" s="68" t="s">
        <v>97</v>
      </c>
      <c r="C32" s="69" t="s">
        <v>75</v>
      </c>
      <c r="D32" s="70">
        <v>150</v>
      </c>
      <c r="E32" s="71">
        <v>5500</v>
      </c>
      <c r="F32" s="326">
        <f t="shared" ref="F32" si="2">ROUND((D32*E32),0)</f>
        <v>825000</v>
      </c>
    </row>
    <row r="33" spans="1:6" ht="15.75" customHeight="1" x14ac:dyDescent="0.2">
      <c r="A33" s="72"/>
      <c r="B33" s="73" t="s">
        <v>666</v>
      </c>
      <c r="C33" s="74"/>
      <c r="D33" s="75"/>
      <c r="E33" s="76"/>
      <c r="F33" s="125">
        <f>ROUND(SUM(F11:F32),0)</f>
        <v>21473926</v>
      </c>
    </row>
    <row r="34" spans="1:6" x14ac:dyDescent="0.2">
      <c r="A34" s="77" t="s">
        <v>77</v>
      </c>
      <c r="B34" s="78"/>
      <c r="C34" s="79"/>
      <c r="D34" s="80"/>
      <c r="E34" s="81"/>
      <c r="F34" s="327"/>
    </row>
    <row r="35" spans="1:6" x14ac:dyDescent="0.2">
      <c r="A35" s="77" t="s">
        <v>78</v>
      </c>
      <c r="B35" s="78"/>
      <c r="C35" s="79"/>
      <c r="D35" s="80"/>
      <c r="E35" s="81"/>
      <c r="F35" s="111">
        <f>ROUND(F33/1.3495,0)</f>
        <v>15912505</v>
      </c>
    </row>
    <row r="36" spans="1:6" x14ac:dyDescent="0.2">
      <c r="A36" s="77" t="s">
        <v>79</v>
      </c>
      <c r="B36" s="78"/>
      <c r="C36" s="79"/>
      <c r="D36" s="83">
        <v>0.24</v>
      </c>
      <c r="E36" s="81"/>
      <c r="F36" s="111">
        <f>ROUND(F35*D36,0)</f>
        <v>3819001</v>
      </c>
    </row>
    <row r="37" spans="1:6" x14ac:dyDescent="0.2">
      <c r="A37" s="77" t="s">
        <v>32</v>
      </c>
      <c r="B37" s="78"/>
      <c r="C37" s="79"/>
      <c r="D37" s="83">
        <v>0.05</v>
      </c>
      <c r="E37" s="81"/>
      <c r="F37" s="111">
        <f>ROUND(F35*D37,0)</f>
        <v>795625</v>
      </c>
    </row>
    <row r="38" spans="1:6" x14ac:dyDescent="0.2">
      <c r="A38" s="77" t="s">
        <v>80</v>
      </c>
      <c r="B38" s="84"/>
      <c r="C38" s="85"/>
      <c r="D38" s="83">
        <v>0.05</v>
      </c>
      <c r="E38" s="86"/>
      <c r="F38" s="111">
        <f>ROUND(F35*D38,0)</f>
        <v>795625</v>
      </c>
    </row>
    <row r="39" spans="1:6" x14ac:dyDescent="0.2">
      <c r="A39" s="77" t="s">
        <v>81</v>
      </c>
      <c r="B39" s="84"/>
      <c r="C39" s="85"/>
      <c r="D39" s="83"/>
      <c r="E39" s="87"/>
      <c r="F39" s="111">
        <f>ROUND(SUM(F35:F38),0)</f>
        <v>21322756</v>
      </c>
    </row>
    <row r="40" spans="1:6" x14ac:dyDescent="0.2">
      <c r="A40" s="77" t="s">
        <v>82</v>
      </c>
      <c r="B40" s="84"/>
      <c r="C40" s="85"/>
      <c r="D40" s="83">
        <v>0.19</v>
      </c>
      <c r="E40" s="87"/>
      <c r="F40" s="111">
        <f>ROUND(F38*D40,0)</f>
        <v>151169</v>
      </c>
    </row>
    <row r="41" spans="1:6" x14ac:dyDescent="0.2">
      <c r="A41" s="88" t="s">
        <v>83</v>
      </c>
      <c r="B41" s="89"/>
      <c r="C41" s="85"/>
      <c r="D41" s="88"/>
      <c r="E41" s="87"/>
      <c r="F41" s="111">
        <f>ROUND(SUM(F39+F40),0)</f>
        <v>21473925</v>
      </c>
    </row>
    <row r="42" spans="1:6" x14ac:dyDescent="0.2">
      <c r="B42" s="252"/>
    </row>
    <row r="43" spans="1:6" ht="64.5" customHeight="1" thickBot="1" x14ac:dyDescent="0.25">
      <c r="A43" s="647" t="s">
        <v>648</v>
      </c>
      <c r="B43" s="648"/>
      <c r="C43" s="648"/>
      <c r="D43" s="648"/>
      <c r="E43" s="648"/>
      <c r="F43" s="649"/>
    </row>
    <row r="44" spans="1:6" ht="19.5" customHeight="1" thickBot="1" x14ac:dyDescent="0.25">
      <c r="A44" s="54"/>
      <c r="B44" s="54"/>
      <c r="C44" s="54"/>
      <c r="D44" s="90"/>
      <c r="E44" s="56"/>
      <c r="F44" s="56"/>
    </row>
    <row r="45" spans="1:6" ht="13.5" thickBot="1" x14ac:dyDescent="0.25">
      <c r="A45" s="640" t="s">
        <v>15</v>
      </c>
      <c r="B45" s="642" t="s">
        <v>16</v>
      </c>
      <c r="C45" s="640" t="s">
        <v>33</v>
      </c>
      <c r="D45" s="645" t="s">
        <v>34</v>
      </c>
      <c r="E45" s="645"/>
      <c r="F45" s="646"/>
    </row>
    <row r="46" spans="1:6" ht="13.5" thickBot="1" x14ac:dyDescent="0.25">
      <c r="A46" s="641"/>
      <c r="B46" s="643"/>
      <c r="C46" s="641"/>
      <c r="D46" s="91" t="s">
        <v>35</v>
      </c>
      <c r="E46" s="58" t="s">
        <v>36</v>
      </c>
      <c r="F46" s="59" t="s">
        <v>37</v>
      </c>
    </row>
    <row r="47" spans="1:6" x14ac:dyDescent="0.2">
      <c r="A47" s="253">
        <v>1</v>
      </c>
      <c r="B47" s="254" t="s">
        <v>38</v>
      </c>
      <c r="C47" s="253"/>
      <c r="D47" s="255"/>
      <c r="E47" s="256"/>
      <c r="F47" s="257"/>
    </row>
    <row r="48" spans="1:6" ht="38.25" x14ac:dyDescent="0.2">
      <c r="A48" s="60" t="s">
        <v>39</v>
      </c>
      <c r="B48" s="92" t="s">
        <v>40</v>
      </c>
      <c r="C48" s="62" t="s">
        <v>22</v>
      </c>
      <c r="D48" s="93">
        <f>92+20+23*5</f>
        <v>227</v>
      </c>
      <c r="E48" s="94">
        <v>4680</v>
      </c>
      <c r="F48" s="325">
        <f>ROUND((D48*E48),0)</f>
        <v>1062360</v>
      </c>
    </row>
    <row r="49" spans="1:6" ht="25.5" x14ac:dyDescent="0.2">
      <c r="A49" s="60">
        <v>1.2</v>
      </c>
      <c r="B49" s="95" t="s">
        <v>41</v>
      </c>
      <c r="C49" s="62" t="s">
        <v>27</v>
      </c>
      <c r="D49" s="93">
        <f>110*5</f>
        <v>550</v>
      </c>
      <c r="E49" s="96">
        <v>7500</v>
      </c>
      <c r="F49" s="325">
        <f>ROUND((D49*E49),0)</f>
        <v>4125000</v>
      </c>
    </row>
    <row r="50" spans="1:6" ht="38.25" x14ac:dyDescent="0.2">
      <c r="A50" s="60" t="s">
        <v>42</v>
      </c>
      <c r="B50" s="95" t="s">
        <v>18</v>
      </c>
      <c r="C50" s="62" t="s">
        <v>22</v>
      </c>
      <c r="D50" s="93">
        <f>92*2+20*2+20</f>
        <v>244</v>
      </c>
      <c r="E50" s="96">
        <v>9800</v>
      </c>
      <c r="F50" s="325">
        <f t="shared" ref="F50:F75" si="3">ROUND((D50*E50),0)</f>
        <v>2391200</v>
      </c>
    </row>
    <row r="51" spans="1:6" ht="38.25" x14ac:dyDescent="0.2">
      <c r="A51" s="60" t="s">
        <v>43</v>
      </c>
      <c r="B51" s="95" t="s">
        <v>44</v>
      </c>
      <c r="C51" s="62" t="s">
        <v>45</v>
      </c>
      <c r="D51" s="93">
        <v>3</v>
      </c>
      <c r="E51" s="97">
        <v>139000</v>
      </c>
      <c r="F51" s="325">
        <f t="shared" si="3"/>
        <v>417000</v>
      </c>
    </row>
    <row r="52" spans="1:6" ht="38.25" x14ac:dyDescent="0.2">
      <c r="A52" s="60" t="s">
        <v>46</v>
      </c>
      <c r="B52" s="95" t="s">
        <v>339</v>
      </c>
      <c r="C52" s="62" t="s">
        <v>45</v>
      </c>
      <c r="D52" s="93">
        <v>1</v>
      </c>
      <c r="E52" s="98">
        <v>705660</v>
      </c>
      <c r="F52" s="325">
        <f t="shared" si="3"/>
        <v>705660</v>
      </c>
    </row>
    <row r="53" spans="1:6" x14ac:dyDescent="0.2">
      <c r="A53" s="246">
        <v>2</v>
      </c>
      <c r="B53" s="258" t="s">
        <v>48</v>
      </c>
      <c r="C53" s="248"/>
      <c r="D53" s="259"/>
      <c r="E53" s="260"/>
      <c r="F53" s="325"/>
    </row>
    <row r="54" spans="1:6" ht="38.25" x14ac:dyDescent="0.2">
      <c r="A54" s="60">
        <v>2.1</v>
      </c>
      <c r="B54" s="61" t="s">
        <v>107</v>
      </c>
      <c r="C54" s="62" t="s">
        <v>12</v>
      </c>
      <c r="D54" s="93">
        <v>2</v>
      </c>
      <c r="E54" s="98">
        <v>86000</v>
      </c>
      <c r="F54" s="325">
        <f t="shared" si="3"/>
        <v>172000</v>
      </c>
    </row>
    <row r="55" spans="1:6" x14ac:dyDescent="0.2">
      <c r="A55" s="246">
        <v>3</v>
      </c>
      <c r="B55" s="258" t="s">
        <v>51</v>
      </c>
      <c r="C55" s="248"/>
      <c r="D55" s="259"/>
      <c r="E55" s="260"/>
      <c r="F55" s="325"/>
    </row>
    <row r="56" spans="1:6" ht="25.5" x14ac:dyDescent="0.2">
      <c r="A56" s="60">
        <v>3.1</v>
      </c>
      <c r="B56" s="61" t="s">
        <v>52</v>
      </c>
      <c r="C56" s="62" t="s">
        <v>12</v>
      </c>
      <c r="D56" s="93">
        <f>112*1.3*0.7+2.01*6</f>
        <v>113.97999999999999</v>
      </c>
      <c r="E56" s="98">
        <v>23600</v>
      </c>
      <c r="F56" s="325">
        <f t="shared" si="3"/>
        <v>2689928</v>
      </c>
    </row>
    <row r="57" spans="1:6" x14ac:dyDescent="0.2">
      <c r="A57" s="60">
        <v>3.2</v>
      </c>
      <c r="B57" s="66" t="s">
        <v>100</v>
      </c>
      <c r="C57" s="62" t="s">
        <v>12</v>
      </c>
      <c r="D57" s="93">
        <v>25.93</v>
      </c>
      <c r="E57" s="97">
        <v>39000</v>
      </c>
      <c r="F57" s="325">
        <f t="shared" si="3"/>
        <v>1011270</v>
      </c>
    </row>
    <row r="58" spans="1:6" ht="25.5" x14ac:dyDescent="0.2">
      <c r="A58" s="246">
        <v>4</v>
      </c>
      <c r="B58" s="247" t="s">
        <v>54</v>
      </c>
      <c r="C58" s="248"/>
      <c r="D58" s="259"/>
      <c r="E58" s="82"/>
      <c r="F58" s="325"/>
    </row>
    <row r="59" spans="1:6" ht="38.25" x14ac:dyDescent="0.2">
      <c r="A59" s="60">
        <v>4.0999999999999996</v>
      </c>
      <c r="B59" s="61" t="s">
        <v>55</v>
      </c>
      <c r="C59" s="62" t="s">
        <v>22</v>
      </c>
      <c r="D59" s="93">
        <f>23*5</f>
        <v>115</v>
      </c>
      <c r="E59" s="98">
        <v>13050</v>
      </c>
      <c r="F59" s="325">
        <f>ROUND((D59*E59),0)</f>
        <v>1500750</v>
      </c>
    </row>
    <row r="60" spans="1:6" ht="51" x14ac:dyDescent="0.2">
      <c r="A60" s="60">
        <v>4.2</v>
      </c>
      <c r="B60" s="61" t="s">
        <v>776</v>
      </c>
      <c r="C60" s="62" t="s">
        <v>22</v>
      </c>
      <c r="D60" s="93">
        <v>112</v>
      </c>
      <c r="E60" s="98">
        <v>16200</v>
      </c>
      <c r="F60" s="325">
        <f>ROUND((D60*E60),0)</f>
        <v>1814400</v>
      </c>
    </row>
    <row r="61" spans="1:6" ht="25.5" x14ac:dyDescent="0.2">
      <c r="A61" s="60">
        <v>4.3</v>
      </c>
      <c r="B61" s="61" t="s">
        <v>101</v>
      </c>
      <c r="C61" s="62" t="s">
        <v>14</v>
      </c>
      <c r="D61" s="93">
        <v>23</v>
      </c>
      <c r="E61" s="98">
        <v>40200</v>
      </c>
      <c r="F61" s="325">
        <f>ROUND((D61*E61),0)</f>
        <v>924600</v>
      </c>
    </row>
    <row r="62" spans="1:6" ht="37.5" customHeight="1" x14ac:dyDescent="0.2">
      <c r="A62" s="246">
        <v>5</v>
      </c>
      <c r="B62" s="251" t="s">
        <v>58</v>
      </c>
      <c r="C62" s="248"/>
      <c r="D62" s="259"/>
      <c r="E62" s="260"/>
      <c r="F62" s="325" t="s">
        <v>0</v>
      </c>
    </row>
    <row r="63" spans="1:6" ht="63.75" x14ac:dyDescent="0.2">
      <c r="A63" s="60">
        <v>5.0999999999999996</v>
      </c>
      <c r="B63" s="61" t="s">
        <v>59</v>
      </c>
      <c r="C63" s="62" t="s">
        <v>45</v>
      </c>
      <c r="D63" s="93">
        <v>23</v>
      </c>
      <c r="E63" s="94">
        <v>195000</v>
      </c>
      <c r="F63" s="325">
        <f>ROUND((D63*E63),0)</f>
        <v>4485000</v>
      </c>
    </row>
    <row r="64" spans="1:6" x14ac:dyDescent="0.2">
      <c r="A64" s="246">
        <v>6</v>
      </c>
      <c r="B64" s="258" t="s">
        <v>61</v>
      </c>
      <c r="C64" s="248"/>
      <c r="D64" s="259"/>
      <c r="E64" s="260"/>
      <c r="F64" s="325"/>
    </row>
    <row r="65" spans="1:7" ht="25.5" x14ac:dyDescent="0.2">
      <c r="A65" s="60">
        <v>6.1</v>
      </c>
      <c r="B65" s="66" t="s">
        <v>62</v>
      </c>
      <c r="C65" s="62" t="s">
        <v>12</v>
      </c>
      <c r="D65" s="93">
        <v>139.91</v>
      </c>
      <c r="E65" s="98">
        <v>19815</v>
      </c>
      <c r="F65" s="325">
        <f t="shared" ref="F65:F71" si="4">ROUND((D65*E65),0)</f>
        <v>2772317</v>
      </c>
    </row>
    <row r="66" spans="1:7" ht="25.5" x14ac:dyDescent="0.2">
      <c r="A66" s="60">
        <v>6.2</v>
      </c>
      <c r="B66" s="66" t="s">
        <v>63</v>
      </c>
      <c r="C66" s="62" t="s">
        <v>12</v>
      </c>
      <c r="D66" s="93">
        <f>0.13*112</f>
        <v>14.56</v>
      </c>
      <c r="E66" s="98">
        <v>96400</v>
      </c>
      <c r="F66" s="325">
        <f t="shared" si="4"/>
        <v>1403584</v>
      </c>
    </row>
    <row r="67" spans="1:7" ht="38.25" x14ac:dyDescent="0.2">
      <c r="A67" s="246">
        <v>7</v>
      </c>
      <c r="B67" s="251" t="s">
        <v>102</v>
      </c>
      <c r="C67" s="248"/>
      <c r="D67" s="259"/>
      <c r="E67" s="260"/>
      <c r="F67" s="325"/>
    </row>
    <row r="68" spans="1:7" ht="25.5" x14ac:dyDescent="0.2">
      <c r="A68" s="60">
        <v>7.1</v>
      </c>
      <c r="B68" s="61" t="s">
        <v>103</v>
      </c>
      <c r="C68" s="62" t="s">
        <v>45</v>
      </c>
      <c r="D68" s="93">
        <v>4</v>
      </c>
      <c r="E68" s="94">
        <v>98000</v>
      </c>
      <c r="F68" s="325">
        <f t="shared" si="4"/>
        <v>392000</v>
      </c>
    </row>
    <row r="69" spans="1:7" ht="51" x14ac:dyDescent="0.2">
      <c r="A69" s="60">
        <v>7.2</v>
      </c>
      <c r="B69" s="61" t="s">
        <v>66</v>
      </c>
      <c r="C69" s="62" t="s">
        <v>22</v>
      </c>
      <c r="D69" s="93">
        <f>4*1.7</f>
        <v>6.8</v>
      </c>
      <c r="E69" s="94">
        <v>449100</v>
      </c>
      <c r="F69" s="325">
        <f t="shared" si="4"/>
        <v>3053880</v>
      </c>
    </row>
    <row r="70" spans="1:7" ht="63.75" x14ac:dyDescent="0.2">
      <c r="A70" s="60">
        <v>7.3</v>
      </c>
      <c r="B70" s="61" t="s">
        <v>67</v>
      </c>
      <c r="C70" s="62" t="s">
        <v>45</v>
      </c>
      <c r="D70" s="93">
        <v>4</v>
      </c>
      <c r="E70" s="94">
        <v>189300</v>
      </c>
      <c r="F70" s="325">
        <f t="shared" si="4"/>
        <v>757200</v>
      </c>
    </row>
    <row r="71" spans="1:7" ht="63.75" x14ac:dyDescent="0.2">
      <c r="A71" s="60">
        <v>7.4</v>
      </c>
      <c r="B71" s="61" t="s">
        <v>104</v>
      </c>
      <c r="C71" s="62" t="s">
        <v>45</v>
      </c>
      <c r="D71" s="93">
        <v>4</v>
      </c>
      <c r="E71" s="94">
        <v>491000</v>
      </c>
      <c r="F71" s="325">
        <f t="shared" si="4"/>
        <v>1964000</v>
      </c>
    </row>
    <row r="72" spans="1:7" ht="25.5" x14ac:dyDescent="0.2">
      <c r="A72" s="246">
        <v>8</v>
      </c>
      <c r="B72" s="247" t="s">
        <v>69</v>
      </c>
      <c r="C72" s="248"/>
      <c r="D72" s="259"/>
      <c r="E72" s="260"/>
      <c r="F72" s="325"/>
    </row>
    <row r="73" spans="1:7" ht="38.25" x14ac:dyDescent="0.2">
      <c r="A73" s="60">
        <v>8.1</v>
      </c>
      <c r="B73" s="61" t="s">
        <v>105</v>
      </c>
      <c r="C73" s="62" t="s">
        <v>12</v>
      </c>
      <c r="D73" s="93">
        <f>+D66+15+2.01*6</f>
        <v>41.620000000000005</v>
      </c>
      <c r="E73" s="98">
        <v>30200</v>
      </c>
      <c r="F73" s="325">
        <f t="shared" si="3"/>
        <v>1256924</v>
      </c>
    </row>
    <row r="74" spans="1:7" ht="25.5" x14ac:dyDescent="0.2">
      <c r="A74" s="246">
        <v>9</v>
      </c>
      <c r="B74" s="247" t="s">
        <v>71</v>
      </c>
      <c r="C74" s="248"/>
      <c r="D74" s="259"/>
      <c r="E74" s="260"/>
      <c r="F74" s="325"/>
    </row>
    <row r="75" spans="1:7" ht="38.25" x14ac:dyDescent="0.2">
      <c r="A75" s="62">
        <v>9.1</v>
      </c>
      <c r="B75" s="66" t="s">
        <v>96</v>
      </c>
      <c r="C75" s="62" t="s">
        <v>12</v>
      </c>
      <c r="D75" s="93">
        <v>2</v>
      </c>
      <c r="E75" s="100">
        <v>615000</v>
      </c>
      <c r="F75" s="325">
        <f t="shared" si="3"/>
        <v>1230000</v>
      </c>
    </row>
    <row r="76" spans="1:7" x14ac:dyDescent="0.2">
      <c r="A76" s="246">
        <v>10</v>
      </c>
      <c r="B76" s="258" t="s">
        <v>74</v>
      </c>
      <c r="C76" s="248"/>
      <c r="D76" s="259"/>
      <c r="E76" s="260"/>
      <c r="F76" s="325"/>
    </row>
    <row r="77" spans="1:7" ht="51" x14ac:dyDescent="0.2">
      <c r="A77" s="101">
        <v>10.1</v>
      </c>
      <c r="B77" s="102" t="s">
        <v>97</v>
      </c>
      <c r="C77" s="62" t="s">
        <v>75</v>
      </c>
      <c r="D77" s="93">
        <v>120</v>
      </c>
      <c r="E77" s="94">
        <v>5500</v>
      </c>
      <c r="F77" s="325">
        <f t="shared" ref="F77:F79" si="5">ROUND((D77*E77),0)</f>
        <v>660000</v>
      </c>
    </row>
    <row r="78" spans="1:7" x14ac:dyDescent="0.2">
      <c r="A78" s="262">
        <v>11</v>
      </c>
      <c r="B78" s="263" t="s">
        <v>98</v>
      </c>
      <c r="C78" s="248"/>
      <c r="D78" s="259"/>
      <c r="E78" s="260"/>
      <c r="F78" s="325"/>
      <c r="G78" s="205" t="s">
        <v>0</v>
      </c>
    </row>
    <row r="79" spans="1:7" x14ac:dyDescent="0.2">
      <c r="A79" s="103">
        <v>11.1</v>
      </c>
      <c r="B79" s="102" t="s">
        <v>106</v>
      </c>
      <c r="C79" s="104" t="s">
        <v>99</v>
      </c>
      <c r="D79" s="105">
        <v>1</v>
      </c>
      <c r="E79" s="106">
        <v>1650117</v>
      </c>
      <c r="F79" s="328">
        <f t="shared" si="5"/>
        <v>1650117</v>
      </c>
    </row>
    <row r="80" spans="1:7" x14ac:dyDescent="0.2">
      <c r="A80" s="107"/>
      <c r="B80" s="346" t="s">
        <v>667</v>
      </c>
      <c r="C80" s="79"/>
      <c r="D80" s="108"/>
      <c r="E80" s="82"/>
      <c r="F80" s="125">
        <f>ROUND(SUM(F48:F79),0)</f>
        <v>36439190</v>
      </c>
    </row>
    <row r="81" spans="1:6" x14ac:dyDescent="0.2">
      <c r="A81" s="77" t="s">
        <v>77</v>
      </c>
      <c r="B81" s="109"/>
      <c r="C81" s="79"/>
      <c r="D81" s="108"/>
      <c r="E81" s="82"/>
      <c r="F81" s="324"/>
    </row>
    <row r="82" spans="1:6" x14ac:dyDescent="0.2">
      <c r="A82" s="77" t="s">
        <v>78</v>
      </c>
      <c r="B82" s="109"/>
      <c r="C82" s="79"/>
      <c r="D82" s="108"/>
      <c r="E82" s="82"/>
      <c r="F82" s="111">
        <f>ROUND(F80/1.3495,0)</f>
        <v>27001993</v>
      </c>
    </row>
    <row r="83" spans="1:6" x14ac:dyDescent="0.2">
      <c r="A83" s="77" t="s">
        <v>79</v>
      </c>
      <c r="B83" s="109"/>
      <c r="C83" s="79"/>
      <c r="D83" s="83">
        <v>0.24</v>
      </c>
      <c r="E83" s="82"/>
      <c r="F83" s="111">
        <f>ROUND(F82*D83,0)</f>
        <v>6480478</v>
      </c>
    </row>
    <row r="84" spans="1:6" x14ac:dyDescent="0.2">
      <c r="A84" s="77" t="s">
        <v>32</v>
      </c>
      <c r="B84" s="109"/>
      <c r="C84" s="79"/>
      <c r="D84" s="83">
        <v>0.05</v>
      </c>
      <c r="E84" s="82"/>
      <c r="F84" s="111">
        <f>ROUND(F82*D84,0)</f>
        <v>1350100</v>
      </c>
    </row>
    <row r="85" spans="1:6" x14ac:dyDescent="0.2">
      <c r="A85" s="77" t="s">
        <v>80</v>
      </c>
      <c r="B85" s="85"/>
      <c r="C85" s="85"/>
      <c r="D85" s="83">
        <v>0.05</v>
      </c>
      <c r="E85" s="87"/>
      <c r="F85" s="111">
        <f>ROUND(F82*D85,0)</f>
        <v>1350100</v>
      </c>
    </row>
    <row r="86" spans="1:6" x14ac:dyDescent="0.2">
      <c r="A86" s="77" t="s">
        <v>81</v>
      </c>
      <c r="B86" s="85"/>
      <c r="C86" s="85"/>
      <c r="D86" s="83"/>
      <c r="E86" s="87"/>
      <c r="F86" s="111">
        <f>ROUND(SUM(F82:F85),0)</f>
        <v>36182671</v>
      </c>
    </row>
    <row r="87" spans="1:6" x14ac:dyDescent="0.2">
      <c r="A87" s="77" t="s">
        <v>82</v>
      </c>
      <c r="B87" s="85"/>
      <c r="C87" s="85"/>
      <c r="D87" s="83">
        <v>0.19</v>
      </c>
      <c r="E87" s="87"/>
      <c r="F87" s="111">
        <f>ROUND(F85*D87,0)</f>
        <v>256519</v>
      </c>
    </row>
    <row r="88" spans="1:6" x14ac:dyDescent="0.2">
      <c r="A88" s="88" t="s">
        <v>83</v>
      </c>
      <c r="B88" s="88"/>
      <c r="C88" s="85"/>
      <c r="D88" s="88"/>
      <c r="E88" s="87"/>
      <c r="F88" s="111">
        <f>ROUND(SUM(F86+F87),0)</f>
        <v>36439190</v>
      </c>
    </row>
    <row r="90" spans="1:6" x14ac:dyDescent="0.2">
      <c r="A90" s="632" t="s">
        <v>125</v>
      </c>
      <c r="B90" s="632"/>
      <c r="C90" s="632"/>
      <c r="D90" s="632"/>
      <c r="E90" s="632"/>
      <c r="F90" s="632"/>
    </row>
    <row r="91" spans="1:6" x14ac:dyDescent="0.2">
      <c r="A91" s="627" t="s">
        <v>15</v>
      </c>
      <c r="B91" s="627" t="s">
        <v>16</v>
      </c>
      <c r="C91" s="627" t="s">
        <v>33</v>
      </c>
      <c r="D91" s="627" t="s">
        <v>34</v>
      </c>
      <c r="E91" s="627"/>
      <c r="F91" s="627"/>
    </row>
    <row r="92" spans="1:6" x14ac:dyDescent="0.2">
      <c r="A92" s="627"/>
      <c r="B92" s="627"/>
      <c r="C92" s="627"/>
      <c r="D92" s="113" t="s">
        <v>35</v>
      </c>
      <c r="E92" s="113" t="s">
        <v>36</v>
      </c>
      <c r="F92" s="113" t="s">
        <v>37</v>
      </c>
    </row>
    <row r="93" spans="1:6" x14ac:dyDescent="0.2">
      <c r="A93" s="344">
        <v>1</v>
      </c>
      <c r="B93" s="114" t="s">
        <v>38</v>
      </c>
      <c r="C93" s="627"/>
      <c r="D93" s="627"/>
      <c r="E93" s="627"/>
      <c r="F93" s="115"/>
    </row>
    <row r="94" spans="1:6" ht="25.5" x14ac:dyDescent="0.2">
      <c r="A94" s="116">
        <v>2</v>
      </c>
      <c r="B94" s="345" t="s">
        <v>108</v>
      </c>
      <c r="C94" s="117" t="s">
        <v>22</v>
      </c>
      <c r="D94" s="118">
        <f>78*2</f>
        <v>156</v>
      </c>
      <c r="E94" s="230">
        <v>4843</v>
      </c>
      <c r="F94" s="230">
        <f t="shared" ref="F94:F132" si="6">ROUND(D94*E94,0)</f>
        <v>755508</v>
      </c>
    </row>
    <row r="95" spans="1:6" ht="25.5" x14ac:dyDescent="0.2">
      <c r="A95" s="344">
        <v>3</v>
      </c>
      <c r="B95" s="345" t="s">
        <v>19</v>
      </c>
      <c r="C95" s="117" t="s">
        <v>45</v>
      </c>
      <c r="D95" s="118">
        <v>2</v>
      </c>
      <c r="E95" s="230">
        <v>144273</v>
      </c>
      <c r="F95" s="230">
        <f t="shared" si="6"/>
        <v>288546</v>
      </c>
    </row>
    <row r="96" spans="1:6" ht="38.25" x14ac:dyDescent="0.2">
      <c r="A96" s="116">
        <v>4</v>
      </c>
      <c r="B96" s="345" t="s">
        <v>109</v>
      </c>
      <c r="C96" s="117" t="s">
        <v>22</v>
      </c>
      <c r="D96" s="118">
        <f>144+12</f>
        <v>156</v>
      </c>
      <c r="E96" s="119">
        <v>6886</v>
      </c>
      <c r="F96" s="230">
        <f t="shared" si="6"/>
        <v>1074216</v>
      </c>
    </row>
    <row r="97" spans="1:6" ht="25.5" x14ac:dyDescent="0.2">
      <c r="A97" s="344">
        <v>5</v>
      </c>
      <c r="B97" s="345" t="s">
        <v>110</v>
      </c>
      <c r="C97" s="117" t="s">
        <v>45</v>
      </c>
      <c r="D97" s="118">
        <v>1</v>
      </c>
      <c r="E97" s="230">
        <v>730341</v>
      </c>
      <c r="F97" s="230">
        <f t="shared" si="6"/>
        <v>730341</v>
      </c>
    </row>
    <row r="98" spans="1:6" x14ac:dyDescent="0.2">
      <c r="A98" s="344">
        <v>6</v>
      </c>
      <c r="B98" s="264" t="s">
        <v>48</v>
      </c>
      <c r="C98" s="115"/>
      <c r="D98" s="115"/>
      <c r="E98" s="230"/>
      <c r="F98" s="230" t="s">
        <v>0</v>
      </c>
    </row>
    <row r="99" spans="1:6" x14ac:dyDescent="0.2">
      <c r="A99" s="116">
        <v>7</v>
      </c>
      <c r="B99" s="147" t="s">
        <v>111</v>
      </c>
      <c r="C99" s="117" t="s">
        <v>22</v>
      </c>
      <c r="D99" s="118">
        <f>78*2+78*2+13*6*2</f>
        <v>468</v>
      </c>
      <c r="E99" s="230">
        <v>7086</v>
      </c>
      <c r="F99" s="230">
        <f t="shared" si="6"/>
        <v>3316248</v>
      </c>
    </row>
    <row r="100" spans="1:6" ht="38.25" x14ac:dyDescent="0.2">
      <c r="A100" s="116">
        <v>8</v>
      </c>
      <c r="B100" s="345" t="s">
        <v>112</v>
      </c>
      <c r="C100" s="117" t="s">
        <v>302</v>
      </c>
      <c r="D100" s="118">
        <f>78*0.7*0.2+78*0.5*0.2+13*6*0.6*0.2+1</f>
        <v>29.08</v>
      </c>
      <c r="E100" s="230">
        <v>77371</v>
      </c>
      <c r="F100" s="230">
        <f t="shared" si="6"/>
        <v>2249949</v>
      </c>
    </row>
    <row r="101" spans="1:6" x14ac:dyDescent="0.2">
      <c r="A101" s="344">
        <v>9</v>
      </c>
      <c r="B101" s="264" t="s">
        <v>51</v>
      </c>
      <c r="C101" s="115"/>
      <c r="D101" s="115"/>
      <c r="E101" s="230"/>
      <c r="F101" s="230" t="s">
        <v>0</v>
      </c>
    </row>
    <row r="102" spans="1:6" x14ac:dyDescent="0.2">
      <c r="A102" s="116">
        <v>10</v>
      </c>
      <c r="B102" s="345" t="s">
        <v>113</v>
      </c>
      <c r="C102" s="117" t="s">
        <v>302</v>
      </c>
      <c r="D102" s="118">
        <f>78*0.7*1.8+78*0.8*0.6+13*6*0.6*1.5</f>
        <v>205.92</v>
      </c>
      <c r="E102" s="230">
        <v>24440</v>
      </c>
      <c r="F102" s="230">
        <f t="shared" si="6"/>
        <v>5032685</v>
      </c>
    </row>
    <row r="103" spans="1:6" ht="25.5" x14ac:dyDescent="0.2">
      <c r="A103" s="344">
        <v>11</v>
      </c>
      <c r="B103" s="345" t="s">
        <v>21</v>
      </c>
      <c r="C103" s="117" t="s">
        <v>302</v>
      </c>
      <c r="D103" s="118">
        <f>+D100</f>
        <v>29.08</v>
      </c>
      <c r="E103" s="230">
        <v>30415</v>
      </c>
      <c r="F103" s="230">
        <f t="shared" si="6"/>
        <v>884468</v>
      </c>
    </row>
    <row r="104" spans="1:6" x14ac:dyDescent="0.2">
      <c r="A104" s="344">
        <v>12</v>
      </c>
      <c r="B104" s="264" t="s">
        <v>126</v>
      </c>
      <c r="C104" s="117"/>
      <c r="D104" s="118"/>
      <c r="E104" s="230"/>
      <c r="F104" s="230" t="s">
        <v>0</v>
      </c>
    </row>
    <row r="105" spans="1:6" x14ac:dyDescent="0.2">
      <c r="A105" s="116">
        <v>13</v>
      </c>
      <c r="B105" s="345" t="s">
        <v>127</v>
      </c>
      <c r="C105" s="117" t="s">
        <v>22</v>
      </c>
      <c r="D105" s="118">
        <v>78</v>
      </c>
      <c r="E105" s="230">
        <v>29350</v>
      </c>
      <c r="F105" s="230">
        <f t="shared" si="6"/>
        <v>2289300</v>
      </c>
    </row>
    <row r="106" spans="1:6" ht="25.5" x14ac:dyDescent="0.2">
      <c r="A106" s="116">
        <v>14</v>
      </c>
      <c r="B106" s="264" t="s">
        <v>128</v>
      </c>
      <c r="C106" s="115"/>
      <c r="D106" s="115"/>
      <c r="E106" s="230"/>
      <c r="F106" s="230" t="s">
        <v>0</v>
      </c>
    </row>
    <row r="107" spans="1:6" ht="38.25" x14ac:dyDescent="0.2">
      <c r="A107" s="344">
        <v>15</v>
      </c>
      <c r="B107" s="345" t="s">
        <v>649</v>
      </c>
      <c r="C107" s="117" t="s">
        <v>22</v>
      </c>
      <c r="D107" s="118">
        <v>78</v>
      </c>
      <c r="E107" s="230">
        <v>25000</v>
      </c>
      <c r="F107" s="230">
        <f t="shared" si="6"/>
        <v>1950000</v>
      </c>
    </row>
    <row r="108" spans="1:6" ht="38.25" x14ac:dyDescent="0.2">
      <c r="A108" s="116">
        <v>16</v>
      </c>
      <c r="B108" s="345" t="s">
        <v>92</v>
      </c>
      <c r="C108" s="117" t="s">
        <v>22</v>
      </c>
      <c r="D108" s="118">
        <f>13*6</f>
        <v>78</v>
      </c>
      <c r="E108" s="230">
        <v>13050</v>
      </c>
      <c r="F108" s="230">
        <f t="shared" si="6"/>
        <v>1017900</v>
      </c>
    </row>
    <row r="109" spans="1:6" ht="38.25" x14ac:dyDescent="0.2">
      <c r="A109" s="344">
        <v>17</v>
      </c>
      <c r="B109" s="122" t="s">
        <v>93</v>
      </c>
      <c r="C109" s="117" t="s">
        <v>116</v>
      </c>
      <c r="D109" s="118">
        <v>13</v>
      </c>
      <c r="E109" s="230">
        <v>222300</v>
      </c>
      <c r="F109" s="230">
        <f t="shared" si="6"/>
        <v>2889900</v>
      </c>
    </row>
    <row r="110" spans="1:6" ht="63.75" x14ac:dyDescent="0.2">
      <c r="A110" s="344">
        <v>18</v>
      </c>
      <c r="B110" s="345" t="s">
        <v>650</v>
      </c>
      <c r="C110" s="117" t="s">
        <v>116</v>
      </c>
      <c r="D110" s="118">
        <v>13</v>
      </c>
      <c r="E110" s="230">
        <v>40200</v>
      </c>
      <c r="F110" s="230">
        <f t="shared" si="6"/>
        <v>522600</v>
      </c>
    </row>
    <row r="111" spans="1:6" ht="38.25" x14ac:dyDescent="0.2">
      <c r="A111" s="116">
        <v>19</v>
      </c>
      <c r="B111" s="264" t="s">
        <v>65</v>
      </c>
      <c r="C111" s="117"/>
      <c r="D111" s="118"/>
      <c r="E111" s="230"/>
      <c r="F111" s="230" t="s">
        <v>0</v>
      </c>
    </row>
    <row r="112" spans="1:6" ht="51" x14ac:dyDescent="0.2">
      <c r="A112" s="116">
        <v>20</v>
      </c>
      <c r="B112" s="345" t="s">
        <v>66</v>
      </c>
      <c r="C112" s="117" t="s">
        <v>22</v>
      </c>
      <c r="D112" s="118">
        <v>1.8</v>
      </c>
      <c r="E112" s="230">
        <v>449100</v>
      </c>
      <c r="F112" s="230">
        <f t="shared" si="6"/>
        <v>808380</v>
      </c>
    </row>
    <row r="113" spans="1:6" ht="63.75" x14ac:dyDescent="0.2">
      <c r="A113" s="344">
        <v>21</v>
      </c>
      <c r="B113" s="345" t="s">
        <v>67</v>
      </c>
      <c r="C113" s="117" t="s">
        <v>14</v>
      </c>
      <c r="D113" s="118">
        <v>1</v>
      </c>
      <c r="E113" s="230">
        <v>187900</v>
      </c>
      <c r="F113" s="230">
        <f t="shared" si="6"/>
        <v>187900</v>
      </c>
    </row>
    <row r="114" spans="1:6" ht="38.25" x14ac:dyDescent="0.2">
      <c r="A114" s="116">
        <v>22</v>
      </c>
      <c r="B114" s="345" t="s">
        <v>68</v>
      </c>
      <c r="C114" s="117" t="s">
        <v>14</v>
      </c>
      <c r="D114" s="118">
        <v>1</v>
      </c>
      <c r="E114" s="230">
        <v>491000</v>
      </c>
      <c r="F114" s="230">
        <f t="shared" si="6"/>
        <v>491000</v>
      </c>
    </row>
    <row r="115" spans="1:6" x14ac:dyDescent="0.2">
      <c r="A115" s="344">
        <v>23</v>
      </c>
      <c r="B115" s="345" t="s">
        <v>94</v>
      </c>
      <c r="C115" s="117" t="s">
        <v>14</v>
      </c>
      <c r="D115" s="118">
        <v>2</v>
      </c>
      <c r="E115" s="230">
        <v>98000</v>
      </c>
      <c r="F115" s="230">
        <f t="shared" si="6"/>
        <v>196000</v>
      </c>
    </row>
    <row r="116" spans="1:6" x14ac:dyDescent="0.2">
      <c r="A116" s="344">
        <v>24</v>
      </c>
      <c r="B116" s="114" t="s">
        <v>114</v>
      </c>
      <c r="C116" s="115"/>
      <c r="D116" s="115"/>
      <c r="E116" s="230"/>
      <c r="F116" s="230" t="s">
        <v>0</v>
      </c>
    </row>
    <row r="117" spans="1:6" ht="25.5" x14ac:dyDescent="0.2">
      <c r="A117" s="116">
        <v>25</v>
      </c>
      <c r="B117" s="345" t="s">
        <v>129</v>
      </c>
      <c r="C117" s="117" t="s">
        <v>22</v>
      </c>
      <c r="D117" s="118">
        <v>78</v>
      </c>
      <c r="E117" s="230">
        <v>5505</v>
      </c>
      <c r="F117" s="230">
        <f t="shared" si="6"/>
        <v>429390</v>
      </c>
    </row>
    <row r="118" spans="1:6" ht="38.25" x14ac:dyDescent="0.2">
      <c r="A118" s="116">
        <v>26</v>
      </c>
      <c r="B118" s="345" t="s">
        <v>115</v>
      </c>
      <c r="C118" s="117" t="s">
        <v>116</v>
      </c>
      <c r="D118" s="118">
        <v>15</v>
      </c>
      <c r="E118" s="230">
        <v>38925</v>
      </c>
      <c r="F118" s="230">
        <f t="shared" si="6"/>
        <v>583875</v>
      </c>
    </row>
    <row r="119" spans="1:6" x14ac:dyDescent="0.2">
      <c r="A119" s="344">
        <v>27</v>
      </c>
      <c r="B119" s="122" t="s">
        <v>670</v>
      </c>
      <c r="C119" s="117" t="s">
        <v>116</v>
      </c>
      <c r="D119" s="118">
        <v>1</v>
      </c>
      <c r="E119" s="230">
        <v>116000</v>
      </c>
      <c r="F119" s="230">
        <f t="shared" si="6"/>
        <v>116000</v>
      </c>
    </row>
    <row r="120" spans="1:6" ht="38.25" x14ac:dyDescent="0.2">
      <c r="A120" s="116">
        <v>28</v>
      </c>
      <c r="B120" s="345" t="s">
        <v>117</v>
      </c>
      <c r="C120" s="117" t="s">
        <v>116</v>
      </c>
      <c r="D120" s="118">
        <v>2</v>
      </c>
      <c r="E120" s="230">
        <v>225000</v>
      </c>
      <c r="F120" s="230">
        <f t="shared" si="6"/>
        <v>450000</v>
      </c>
    </row>
    <row r="121" spans="1:6" x14ac:dyDescent="0.2">
      <c r="A121" s="344">
        <v>29</v>
      </c>
      <c r="B121" s="123" t="s">
        <v>118</v>
      </c>
      <c r="C121" s="117" t="s">
        <v>119</v>
      </c>
      <c r="D121" s="118">
        <v>4</v>
      </c>
      <c r="E121" s="230">
        <v>275000</v>
      </c>
      <c r="F121" s="230">
        <f t="shared" si="6"/>
        <v>1100000</v>
      </c>
    </row>
    <row r="122" spans="1:6" x14ac:dyDescent="0.2">
      <c r="A122" s="344">
        <v>30</v>
      </c>
      <c r="B122" s="114" t="s">
        <v>120</v>
      </c>
      <c r="C122" s="115"/>
      <c r="D122" s="115"/>
      <c r="E122" s="230"/>
      <c r="F122" s="230" t="s">
        <v>0</v>
      </c>
    </row>
    <row r="123" spans="1:6" x14ac:dyDescent="0.2">
      <c r="A123" s="116">
        <v>31</v>
      </c>
      <c r="B123" s="123" t="s">
        <v>25</v>
      </c>
      <c r="C123" s="117" t="s">
        <v>302</v>
      </c>
      <c r="D123" s="118">
        <f>78*0.13+78*0.15</f>
        <v>21.84</v>
      </c>
      <c r="E123" s="230">
        <v>112055</v>
      </c>
      <c r="F123" s="230">
        <f t="shared" si="6"/>
        <v>2447281</v>
      </c>
    </row>
    <row r="124" spans="1:6" ht="25.5" x14ac:dyDescent="0.2">
      <c r="A124" s="116">
        <v>32</v>
      </c>
      <c r="B124" s="345" t="s">
        <v>121</v>
      </c>
      <c r="C124" s="117" t="s">
        <v>302</v>
      </c>
      <c r="D124" s="118">
        <f>+D102-D123</f>
        <v>184.07999999999998</v>
      </c>
      <c r="E124" s="230">
        <v>20553</v>
      </c>
      <c r="F124" s="230">
        <f t="shared" si="6"/>
        <v>3783396</v>
      </c>
    </row>
    <row r="125" spans="1:6" ht="25.5" x14ac:dyDescent="0.2">
      <c r="A125" s="344">
        <v>33</v>
      </c>
      <c r="B125" s="345" t="s">
        <v>122</v>
      </c>
      <c r="C125" s="117" t="s">
        <v>302</v>
      </c>
      <c r="D125" s="118">
        <f>+D100</f>
        <v>29.08</v>
      </c>
      <c r="E125" s="230">
        <v>134520</v>
      </c>
      <c r="F125" s="230">
        <f t="shared" si="6"/>
        <v>3911842</v>
      </c>
    </row>
    <row r="126" spans="1:6" x14ac:dyDescent="0.2">
      <c r="A126" s="116">
        <v>34</v>
      </c>
      <c r="B126" s="114" t="s">
        <v>123</v>
      </c>
      <c r="C126" s="115"/>
      <c r="D126" s="115"/>
      <c r="E126" s="230"/>
      <c r="F126" s="230" t="s">
        <v>0</v>
      </c>
    </row>
    <row r="127" spans="1:6" ht="25.5" x14ac:dyDescent="0.2">
      <c r="A127" s="344">
        <v>35</v>
      </c>
      <c r="B127" s="345" t="s">
        <v>72</v>
      </c>
      <c r="C127" s="117" t="s">
        <v>302</v>
      </c>
      <c r="D127" s="118">
        <v>2</v>
      </c>
      <c r="E127" s="230">
        <v>562312</v>
      </c>
      <c r="F127" s="230">
        <f t="shared" si="6"/>
        <v>1124624</v>
      </c>
    </row>
    <row r="128" spans="1:6" x14ac:dyDescent="0.2">
      <c r="A128" s="344">
        <v>36</v>
      </c>
      <c r="B128" s="123" t="s">
        <v>647</v>
      </c>
      <c r="C128" s="117" t="s">
        <v>302</v>
      </c>
      <c r="D128" s="118">
        <f>+D125</f>
        <v>29.08</v>
      </c>
      <c r="E128" s="230">
        <v>763644</v>
      </c>
      <c r="F128" s="230">
        <f t="shared" si="6"/>
        <v>22206768</v>
      </c>
    </row>
    <row r="129" spans="1:6" x14ac:dyDescent="0.2">
      <c r="A129" s="344">
        <v>37</v>
      </c>
      <c r="B129" s="114" t="s">
        <v>74</v>
      </c>
      <c r="C129" s="115"/>
      <c r="D129" s="115"/>
      <c r="E129" s="230"/>
      <c r="F129" s="230" t="s">
        <v>0</v>
      </c>
    </row>
    <row r="130" spans="1:6" ht="51" x14ac:dyDescent="0.2">
      <c r="A130" s="116">
        <v>38</v>
      </c>
      <c r="B130" s="345" t="s">
        <v>97</v>
      </c>
      <c r="C130" s="116" t="s">
        <v>130</v>
      </c>
      <c r="D130" s="118">
        <v>200</v>
      </c>
      <c r="E130" s="230">
        <v>5489</v>
      </c>
      <c r="F130" s="230">
        <f t="shared" si="6"/>
        <v>1097800</v>
      </c>
    </row>
    <row r="131" spans="1:6" x14ac:dyDescent="0.2">
      <c r="A131" s="116">
        <v>39</v>
      </c>
      <c r="B131" s="264" t="s">
        <v>131</v>
      </c>
      <c r="C131" s="116"/>
      <c r="D131" s="118"/>
      <c r="E131" s="230"/>
      <c r="F131" s="230" t="s">
        <v>0</v>
      </c>
    </row>
    <row r="132" spans="1:6" x14ac:dyDescent="0.2">
      <c r="A132" s="344">
        <v>40</v>
      </c>
      <c r="B132" s="345" t="s">
        <v>132</v>
      </c>
      <c r="C132" s="116" t="s">
        <v>133</v>
      </c>
      <c r="D132" s="118">
        <v>1</v>
      </c>
      <c r="E132" s="230">
        <v>1605000</v>
      </c>
      <c r="F132" s="230">
        <f t="shared" si="6"/>
        <v>1605000</v>
      </c>
    </row>
    <row r="133" spans="1:6" x14ac:dyDescent="0.2">
      <c r="A133" s="344"/>
      <c r="B133" s="114" t="s">
        <v>30</v>
      </c>
      <c r="C133" s="113"/>
      <c r="D133" s="124"/>
      <c r="E133" s="152"/>
      <c r="F133" s="125">
        <f>ROUND(SUM(F94:F132),0)</f>
        <v>63540917</v>
      </c>
    </row>
    <row r="134" spans="1:6" x14ac:dyDescent="0.2">
      <c r="A134" s="126"/>
      <c r="B134" s="126"/>
      <c r="C134" s="126"/>
      <c r="D134" s="126"/>
      <c r="E134" s="126"/>
      <c r="F134" s="126"/>
    </row>
    <row r="135" spans="1:6" x14ac:dyDescent="0.2">
      <c r="A135" s="77" t="s">
        <v>78</v>
      </c>
      <c r="B135" s="109"/>
      <c r="C135" s="109"/>
      <c r="D135" s="109"/>
      <c r="E135" s="109"/>
      <c r="F135" s="111">
        <f>ROUND(F133/1.3495,0)</f>
        <v>47084785</v>
      </c>
    </row>
    <row r="136" spans="1:6" x14ac:dyDescent="0.2">
      <c r="A136" s="77" t="s">
        <v>79</v>
      </c>
      <c r="B136" s="109"/>
      <c r="C136" s="109"/>
      <c r="D136" s="112">
        <v>0.24</v>
      </c>
      <c r="E136" s="109"/>
      <c r="F136" s="111">
        <f>ROUND(F135*D136,0)</f>
        <v>11300348</v>
      </c>
    </row>
    <row r="137" spans="1:6" x14ac:dyDescent="0.2">
      <c r="A137" s="77" t="s">
        <v>32</v>
      </c>
      <c r="B137" s="109"/>
      <c r="C137" s="109"/>
      <c r="D137" s="112">
        <v>0.05</v>
      </c>
      <c r="E137" s="109"/>
      <c r="F137" s="111">
        <f>ROUND(F135*D137,0)</f>
        <v>2354239</v>
      </c>
    </row>
    <row r="138" spans="1:6" x14ac:dyDescent="0.2">
      <c r="A138" s="77" t="s">
        <v>80</v>
      </c>
      <c r="B138" s="85"/>
      <c r="C138" s="85"/>
      <c r="D138" s="112">
        <v>0.05</v>
      </c>
      <c r="E138" s="85"/>
      <c r="F138" s="111">
        <f>ROUND(F135*D138,0)</f>
        <v>2354239</v>
      </c>
    </row>
    <row r="139" spans="1:6" x14ac:dyDescent="0.2">
      <c r="A139" s="77" t="s">
        <v>81</v>
      </c>
      <c r="B139" s="85"/>
      <c r="C139" s="85"/>
      <c r="D139" s="112"/>
      <c r="E139" s="85"/>
      <c r="F139" s="111">
        <f>ROUND(SUM(F135:F138),0)</f>
        <v>63093611</v>
      </c>
    </row>
    <row r="140" spans="1:6" x14ac:dyDescent="0.2">
      <c r="A140" s="77" t="s">
        <v>82</v>
      </c>
      <c r="B140" s="85"/>
      <c r="C140" s="85"/>
      <c r="D140" s="112">
        <v>0.19</v>
      </c>
      <c r="E140" s="85"/>
      <c r="F140" s="111">
        <f>ROUND(F138*D140,0)</f>
        <v>447305</v>
      </c>
    </row>
    <row r="141" spans="1:6" x14ac:dyDescent="0.2">
      <c r="A141" s="88" t="s">
        <v>83</v>
      </c>
      <c r="B141" s="88"/>
      <c r="C141" s="88"/>
      <c r="D141" s="88"/>
      <c r="E141" s="88"/>
      <c r="F141" s="111">
        <f>ROUND(SUM(F139+F140),0)</f>
        <v>63540916</v>
      </c>
    </row>
    <row r="144" spans="1:6" x14ac:dyDescent="0.2">
      <c r="A144" s="632" t="s">
        <v>138</v>
      </c>
      <c r="B144" s="632"/>
      <c r="C144" s="632"/>
      <c r="D144" s="632"/>
      <c r="E144" s="632"/>
      <c r="F144" s="632"/>
    </row>
    <row r="145" spans="1:6" x14ac:dyDescent="0.2">
      <c r="A145" s="627" t="s">
        <v>15</v>
      </c>
      <c r="B145" s="627" t="s">
        <v>16</v>
      </c>
      <c r="C145" s="627" t="s">
        <v>33</v>
      </c>
      <c r="D145" s="627" t="s">
        <v>34</v>
      </c>
      <c r="E145" s="627"/>
      <c r="F145" s="627"/>
    </row>
    <row r="146" spans="1:6" x14ac:dyDescent="0.2">
      <c r="A146" s="627"/>
      <c r="B146" s="627"/>
      <c r="C146" s="627"/>
      <c r="D146" s="113" t="s">
        <v>35</v>
      </c>
      <c r="E146" s="113" t="s">
        <v>36</v>
      </c>
      <c r="F146" s="113" t="s">
        <v>37</v>
      </c>
    </row>
    <row r="147" spans="1:6" x14ac:dyDescent="0.2">
      <c r="A147" s="344">
        <v>1</v>
      </c>
      <c r="B147" s="114" t="s">
        <v>38</v>
      </c>
      <c r="C147" s="627"/>
      <c r="D147" s="627"/>
      <c r="E147" s="627"/>
      <c r="F147" s="115"/>
    </row>
    <row r="148" spans="1:6" ht="25.5" x14ac:dyDescent="0.2">
      <c r="A148" s="116">
        <v>2</v>
      </c>
      <c r="B148" s="345" t="s">
        <v>108</v>
      </c>
      <c r="C148" s="117" t="s">
        <v>22</v>
      </c>
      <c r="D148" s="118">
        <v>60</v>
      </c>
      <c r="E148" s="230">
        <v>4843</v>
      </c>
      <c r="F148" s="230">
        <f>ROUND(D148*E148,0)</f>
        <v>290580</v>
      </c>
    </row>
    <row r="149" spans="1:6" ht="38.25" x14ac:dyDescent="0.2">
      <c r="A149" s="344">
        <v>3</v>
      </c>
      <c r="B149" s="345" t="s">
        <v>109</v>
      </c>
      <c r="C149" s="117" t="s">
        <v>22</v>
      </c>
      <c r="D149" s="118">
        <v>120</v>
      </c>
      <c r="E149" s="119">
        <v>6886</v>
      </c>
      <c r="F149" s="230">
        <f t="shared" ref="F149:F174" si="7">ROUND(D149*E149,0)</f>
        <v>826320</v>
      </c>
    </row>
    <row r="150" spans="1:6" ht="25.5" x14ac:dyDescent="0.2">
      <c r="A150" s="116">
        <v>4</v>
      </c>
      <c r="B150" s="576" t="s">
        <v>110</v>
      </c>
      <c r="C150" s="117" t="s">
        <v>45</v>
      </c>
      <c r="D150" s="118">
        <v>1</v>
      </c>
      <c r="E150" s="230">
        <v>730341</v>
      </c>
      <c r="F150" s="230">
        <f t="shared" si="7"/>
        <v>730341</v>
      </c>
    </row>
    <row r="151" spans="1:6" x14ac:dyDescent="0.2">
      <c r="A151" s="344">
        <v>5</v>
      </c>
      <c r="B151" s="114" t="s">
        <v>48</v>
      </c>
      <c r="C151" s="115"/>
      <c r="D151" s="115"/>
      <c r="E151" s="230"/>
      <c r="F151" s="230" t="s">
        <v>0</v>
      </c>
    </row>
    <row r="152" spans="1:6" x14ac:dyDescent="0.2">
      <c r="A152" s="116">
        <v>6</v>
      </c>
      <c r="B152" s="147" t="s">
        <v>111</v>
      </c>
      <c r="C152" s="117" t="s">
        <v>22</v>
      </c>
      <c r="D152" s="118">
        <v>56</v>
      </c>
      <c r="E152" s="230">
        <v>7086</v>
      </c>
      <c r="F152" s="230">
        <f t="shared" si="7"/>
        <v>396816</v>
      </c>
    </row>
    <row r="153" spans="1:6" ht="38.25" x14ac:dyDescent="0.2">
      <c r="A153" s="344">
        <v>7</v>
      </c>
      <c r="B153" s="345" t="s">
        <v>112</v>
      </c>
      <c r="C153" s="117" t="s">
        <v>302</v>
      </c>
      <c r="D153" s="118">
        <v>0.5</v>
      </c>
      <c r="E153" s="230">
        <v>77371</v>
      </c>
      <c r="F153" s="230">
        <f t="shared" si="7"/>
        <v>38686</v>
      </c>
    </row>
    <row r="154" spans="1:6" x14ac:dyDescent="0.2">
      <c r="A154" s="116">
        <v>8</v>
      </c>
      <c r="B154" s="114" t="s">
        <v>51</v>
      </c>
      <c r="C154" s="115"/>
      <c r="D154" s="115"/>
      <c r="E154" s="230"/>
      <c r="F154" s="230" t="s">
        <v>0</v>
      </c>
    </row>
    <row r="155" spans="1:6" x14ac:dyDescent="0.2">
      <c r="A155" s="344">
        <v>9</v>
      </c>
      <c r="B155" s="123" t="s">
        <v>113</v>
      </c>
      <c r="C155" s="117" t="s">
        <v>302</v>
      </c>
      <c r="D155" s="118">
        <v>72</v>
      </c>
      <c r="E155" s="230">
        <v>24440</v>
      </c>
      <c r="F155" s="230">
        <f t="shared" si="7"/>
        <v>1759680</v>
      </c>
    </row>
    <row r="156" spans="1:6" x14ac:dyDescent="0.2">
      <c r="A156" s="116">
        <v>10</v>
      </c>
      <c r="B156" s="123" t="s">
        <v>139</v>
      </c>
      <c r="C156" s="117" t="s">
        <v>302</v>
      </c>
      <c r="D156" s="118">
        <v>6</v>
      </c>
      <c r="E156" s="230">
        <v>27047</v>
      </c>
      <c r="F156" s="230">
        <f t="shared" si="7"/>
        <v>162282</v>
      </c>
    </row>
    <row r="157" spans="1:6" ht="25.5" x14ac:dyDescent="0.2">
      <c r="A157" s="344">
        <v>11</v>
      </c>
      <c r="B157" s="576" t="s">
        <v>21</v>
      </c>
      <c r="C157" s="117" t="s">
        <v>302</v>
      </c>
      <c r="D157" s="118">
        <v>16</v>
      </c>
      <c r="E157" s="230">
        <v>30415</v>
      </c>
      <c r="F157" s="230">
        <f t="shared" si="7"/>
        <v>486640</v>
      </c>
    </row>
    <row r="158" spans="1:6" x14ac:dyDescent="0.2">
      <c r="A158" s="116">
        <v>12</v>
      </c>
      <c r="B158" s="114" t="s">
        <v>114</v>
      </c>
      <c r="C158" s="115"/>
      <c r="D158" s="115"/>
      <c r="E158" s="230"/>
      <c r="F158" s="230" t="s">
        <v>0</v>
      </c>
    </row>
    <row r="159" spans="1:6" ht="25.5" x14ac:dyDescent="0.2">
      <c r="A159" s="344">
        <v>13</v>
      </c>
      <c r="B159" s="576" t="s">
        <v>140</v>
      </c>
      <c r="C159" s="116" t="s">
        <v>22</v>
      </c>
      <c r="D159" s="118">
        <v>60</v>
      </c>
      <c r="E159" s="230">
        <f>1835*6</f>
        <v>11010</v>
      </c>
      <c r="F159" s="230">
        <f t="shared" si="7"/>
        <v>660600</v>
      </c>
    </row>
    <row r="160" spans="1:6" ht="25.5" x14ac:dyDescent="0.2">
      <c r="A160" s="116">
        <v>14</v>
      </c>
      <c r="B160" s="576" t="s">
        <v>141</v>
      </c>
      <c r="C160" s="117" t="s">
        <v>22</v>
      </c>
      <c r="D160" s="118">
        <v>60</v>
      </c>
      <c r="E160" s="230">
        <f>1835*3</f>
        <v>5505</v>
      </c>
      <c r="F160" s="230">
        <f t="shared" si="7"/>
        <v>330300</v>
      </c>
    </row>
    <row r="161" spans="1:6" ht="38.25" x14ac:dyDescent="0.2">
      <c r="A161" s="344">
        <v>15</v>
      </c>
      <c r="B161" s="345" t="s">
        <v>115</v>
      </c>
      <c r="C161" s="117" t="s">
        <v>116</v>
      </c>
      <c r="D161" s="118">
        <v>7</v>
      </c>
      <c r="E161" s="230">
        <v>38925</v>
      </c>
      <c r="F161" s="230">
        <f t="shared" si="7"/>
        <v>272475</v>
      </c>
    </row>
    <row r="162" spans="1:6" x14ac:dyDescent="0.2">
      <c r="A162" s="116">
        <v>16</v>
      </c>
      <c r="B162" s="122" t="s">
        <v>203</v>
      </c>
      <c r="C162" s="117" t="s">
        <v>116</v>
      </c>
      <c r="D162" s="118">
        <v>2</v>
      </c>
      <c r="E162" s="230">
        <v>194622</v>
      </c>
      <c r="F162" s="230">
        <f t="shared" si="7"/>
        <v>389244</v>
      </c>
    </row>
    <row r="163" spans="1:6" ht="51" x14ac:dyDescent="0.2">
      <c r="A163" s="344">
        <v>17</v>
      </c>
      <c r="B163" s="121" t="s">
        <v>134</v>
      </c>
      <c r="C163" s="117" t="s">
        <v>116</v>
      </c>
      <c r="D163" s="118">
        <v>2</v>
      </c>
      <c r="E163" s="230">
        <v>350000</v>
      </c>
      <c r="F163" s="230">
        <f t="shared" si="7"/>
        <v>700000</v>
      </c>
    </row>
    <row r="164" spans="1:6" x14ac:dyDescent="0.2">
      <c r="A164" s="116">
        <v>18</v>
      </c>
      <c r="B164" s="123" t="s">
        <v>142</v>
      </c>
      <c r="C164" s="117" t="s">
        <v>45</v>
      </c>
      <c r="D164" s="118">
        <v>4</v>
      </c>
      <c r="E164" s="230">
        <v>175000</v>
      </c>
      <c r="F164" s="230">
        <f t="shared" si="7"/>
        <v>700000</v>
      </c>
    </row>
    <row r="165" spans="1:6" x14ac:dyDescent="0.2">
      <c r="A165" s="344">
        <v>19</v>
      </c>
      <c r="B165" s="114" t="s">
        <v>120</v>
      </c>
      <c r="C165" s="115"/>
      <c r="D165" s="115"/>
      <c r="E165" s="230"/>
      <c r="F165" s="230" t="s">
        <v>0</v>
      </c>
    </row>
    <row r="166" spans="1:6" x14ac:dyDescent="0.2">
      <c r="A166" s="116">
        <v>20</v>
      </c>
      <c r="B166" s="123" t="s">
        <v>25</v>
      </c>
      <c r="C166" s="117" t="s">
        <v>302</v>
      </c>
      <c r="D166" s="118">
        <v>5.73</v>
      </c>
      <c r="E166" s="230">
        <v>112055</v>
      </c>
      <c r="F166" s="230">
        <f t="shared" si="7"/>
        <v>642075</v>
      </c>
    </row>
    <row r="167" spans="1:6" ht="25.5" x14ac:dyDescent="0.2">
      <c r="A167" s="344">
        <v>21</v>
      </c>
      <c r="B167" s="345" t="s">
        <v>121</v>
      </c>
      <c r="C167" s="117" t="s">
        <v>302</v>
      </c>
      <c r="D167" s="118">
        <v>24.6</v>
      </c>
      <c r="E167" s="230">
        <v>20553</v>
      </c>
      <c r="F167" s="230">
        <f t="shared" si="7"/>
        <v>505604</v>
      </c>
    </row>
    <row r="168" spans="1:6" x14ac:dyDescent="0.2">
      <c r="A168" s="116">
        <v>22</v>
      </c>
      <c r="B168" s="123" t="s">
        <v>143</v>
      </c>
      <c r="C168" s="117" t="s">
        <v>302</v>
      </c>
      <c r="D168" s="118">
        <v>9.6</v>
      </c>
      <c r="E168" s="230">
        <v>134520</v>
      </c>
      <c r="F168" s="230">
        <f t="shared" si="7"/>
        <v>1291392</v>
      </c>
    </row>
    <row r="169" spans="1:6" x14ac:dyDescent="0.2">
      <c r="A169" s="344">
        <v>23</v>
      </c>
      <c r="B169" s="114" t="s">
        <v>123</v>
      </c>
      <c r="C169" s="115"/>
      <c r="D169" s="115"/>
      <c r="E169" s="230"/>
      <c r="F169" s="230" t="s">
        <v>0</v>
      </c>
    </row>
    <row r="170" spans="1:6" ht="25.5" x14ac:dyDescent="0.2">
      <c r="A170" s="116">
        <v>24</v>
      </c>
      <c r="B170" s="345" t="s">
        <v>72</v>
      </c>
      <c r="C170" s="117" t="s">
        <v>302</v>
      </c>
      <c r="D170" s="118">
        <v>1</v>
      </c>
      <c r="E170" s="230">
        <v>562312</v>
      </c>
      <c r="F170" s="230">
        <f t="shared" si="7"/>
        <v>562312</v>
      </c>
    </row>
    <row r="171" spans="1:6" ht="25.5" x14ac:dyDescent="0.2">
      <c r="A171" s="344">
        <v>25</v>
      </c>
      <c r="B171" s="121" t="s">
        <v>647</v>
      </c>
      <c r="C171" s="117" t="s">
        <v>302</v>
      </c>
      <c r="D171" s="118">
        <v>0.5</v>
      </c>
      <c r="E171" s="230">
        <v>763644</v>
      </c>
      <c r="F171" s="230">
        <f t="shared" si="7"/>
        <v>381822</v>
      </c>
    </row>
    <row r="172" spans="1:6" x14ac:dyDescent="0.2">
      <c r="A172" s="116">
        <v>26</v>
      </c>
      <c r="B172" s="114" t="s">
        <v>74</v>
      </c>
      <c r="C172" s="115"/>
      <c r="D172" s="115"/>
      <c r="E172" s="230"/>
      <c r="F172" s="230" t="s">
        <v>0</v>
      </c>
    </row>
    <row r="173" spans="1:6" ht="25.5" x14ac:dyDescent="0.2">
      <c r="A173" s="344">
        <v>27</v>
      </c>
      <c r="B173" s="576" t="s">
        <v>135</v>
      </c>
      <c r="C173" s="117" t="s">
        <v>136</v>
      </c>
      <c r="D173" s="118">
        <v>36</v>
      </c>
      <c r="E173" s="230">
        <v>5484</v>
      </c>
      <c r="F173" s="230">
        <f t="shared" si="7"/>
        <v>197424</v>
      </c>
    </row>
    <row r="174" spans="1:6" ht="25.5" x14ac:dyDescent="0.2">
      <c r="A174" s="344">
        <v>28</v>
      </c>
      <c r="B174" s="345" t="s">
        <v>137</v>
      </c>
      <c r="C174" s="117" t="s">
        <v>99</v>
      </c>
      <c r="D174" s="118">
        <v>1</v>
      </c>
      <c r="E174" s="230">
        <v>1351875</v>
      </c>
      <c r="F174" s="230">
        <f t="shared" si="7"/>
        <v>1351875</v>
      </c>
    </row>
    <row r="175" spans="1:6" x14ac:dyDescent="0.2">
      <c r="A175" s="344"/>
      <c r="B175" s="114" t="s">
        <v>30</v>
      </c>
      <c r="C175" s="113"/>
      <c r="D175" s="124"/>
      <c r="E175" s="152"/>
      <c r="F175" s="125">
        <f>ROUND(SUM(F148:F174),0)</f>
        <v>12676468</v>
      </c>
    </row>
    <row r="176" spans="1:6" x14ac:dyDescent="0.2">
      <c r="A176" s="344"/>
      <c r="B176" s="114"/>
      <c r="C176" s="113"/>
      <c r="D176" s="124"/>
      <c r="E176" s="152"/>
      <c r="F176" s="125"/>
    </row>
    <row r="177" spans="1:6" x14ac:dyDescent="0.2">
      <c r="A177" s="77" t="s">
        <v>78</v>
      </c>
      <c r="B177" s="109"/>
      <c r="C177" s="109"/>
      <c r="D177" s="109"/>
      <c r="E177" s="109"/>
      <c r="F177" s="111">
        <f>ROUND(F175/1.3495,0)</f>
        <v>9393455</v>
      </c>
    </row>
    <row r="178" spans="1:6" x14ac:dyDescent="0.2">
      <c r="A178" s="77" t="s">
        <v>79</v>
      </c>
      <c r="B178" s="109"/>
      <c r="C178" s="109"/>
      <c r="D178" s="112">
        <v>0.24</v>
      </c>
      <c r="E178" s="109"/>
      <c r="F178" s="111">
        <f>ROUND(F177*D178,0)</f>
        <v>2254429</v>
      </c>
    </row>
    <row r="179" spans="1:6" x14ac:dyDescent="0.2">
      <c r="A179" s="77" t="s">
        <v>32</v>
      </c>
      <c r="B179" s="109"/>
      <c r="C179" s="109"/>
      <c r="D179" s="112">
        <v>0.05</v>
      </c>
      <c r="E179" s="109"/>
      <c r="F179" s="111">
        <f>ROUND(F177*D179,0)</f>
        <v>469673</v>
      </c>
    </row>
    <row r="180" spans="1:6" x14ac:dyDescent="0.2">
      <c r="A180" s="77" t="s">
        <v>80</v>
      </c>
      <c r="B180" s="85"/>
      <c r="C180" s="85"/>
      <c r="D180" s="112">
        <v>0.05</v>
      </c>
      <c r="E180" s="85"/>
      <c r="F180" s="111">
        <f>ROUND(F177*D180,0)</f>
        <v>469673</v>
      </c>
    </row>
    <row r="181" spans="1:6" x14ac:dyDescent="0.2">
      <c r="A181" s="77" t="s">
        <v>81</v>
      </c>
      <c r="B181" s="85"/>
      <c r="C181" s="85"/>
      <c r="D181" s="112"/>
      <c r="E181" s="85"/>
      <c r="F181" s="111">
        <f>ROUND(SUM(F177:F180),0)</f>
        <v>12587230</v>
      </c>
    </row>
    <row r="182" spans="1:6" x14ac:dyDescent="0.2">
      <c r="A182" s="77" t="s">
        <v>82</v>
      </c>
      <c r="B182" s="85"/>
      <c r="C182" s="85"/>
      <c r="D182" s="112">
        <v>0.19</v>
      </c>
      <c r="E182" s="85"/>
      <c r="F182" s="111">
        <f>ROUND(F180*D182,0)</f>
        <v>89238</v>
      </c>
    </row>
    <row r="183" spans="1:6" x14ac:dyDescent="0.2">
      <c r="A183" s="88" t="s">
        <v>83</v>
      </c>
      <c r="B183" s="88"/>
      <c r="C183" s="88"/>
      <c r="D183" s="88"/>
      <c r="E183" s="88"/>
      <c r="F183" s="111">
        <f>ROUND(SUM(F181+F182),0)</f>
        <v>12676468</v>
      </c>
    </row>
    <row r="185" spans="1:6" x14ac:dyDescent="0.2">
      <c r="A185" s="632" t="s">
        <v>144</v>
      </c>
      <c r="B185" s="632"/>
      <c r="C185" s="632"/>
      <c r="D185" s="632"/>
      <c r="E185" s="632"/>
      <c r="F185" s="632"/>
    </row>
    <row r="186" spans="1:6" x14ac:dyDescent="0.2">
      <c r="A186" s="627" t="s">
        <v>15</v>
      </c>
      <c r="B186" s="627" t="s">
        <v>16</v>
      </c>
      <c r="C186" s="627" t="s">
        <v>33</v>
      </c>
      <c r="D186" s="627" t="s">
        <v>34</v>
      </c>
      <c r="E186" s="627"/>
      <c r="F186" s="627"/>
    </row>
    <row r="187" spans="1:6" x14ac:dyDescent="0.2">
      <c r="A187" s="627"/>
      <c r="B187" s="627"/>
      <c r="C187" s="627"/>
      <c r="D187" s="113" t="s">
        <v>35</v>
      </c>
      <c r="E187" s="113" t="s">
        <v>36</v>
      </c>
      <c r="F187" s="113" t="s">
        <v>37</v>
      </c>
    </row>
    <row r="188" spans="1:6" x14ac:dyDescent="0.2">
      <c r="A188" s="344">
        <v>1</v>
      </c>
      <c r="B188" s="114" t="s">
        <v>38</v>
      </c>
      <c r="C188" s="627"/>
      <c r="D188" s="627"/>
      <c r="E188" s="627"/>
      <c r="F188" s="115"/>
    </row>
    <row r="189" spans="1:6" ht="25.5" x14ac:dyDescent="0.2">
      <c r="A189" s="116">
        <v>2</v>
      </c>
      <c r="B189" s="345" t="s">
        <v>108</v>
      </c>
      <c r="C189" s="117" t="s">
        <v>22</v>
      </c>
      <c r="D189" s="118">
        <v>264</v>
      </c>
      <c r="E189" s="230">
        <v>4843</v>
      </c>
      <c r="F189" s="230">
        <f t="shared" ref="F189:F213" si="8">ROUND(D189*E189,0)</f>
        <v>1278552</v>
      </c>
    </row>
    <row r="190" spans="1:6" ht="25.5" x14ac:dyDescent="0.2">
      <c r="A190" s="344">
        <v>3</v>
      </c>
      <c r="B190" s="345" t="s">
        <v>19</v>
      </c>
      <c r="C190" s="117" t="s">
        <v>45</v>
      </c>
      <c r="D190" s="118">
        <v>2</v>
      </c>
      <c r="E190" s="230">
        <v>144273</v>
      </c>
      <c r="F190" s="230">
        <f t="shared" si="8"/>
        <v>288546</v>
      </c>
    </row>
    <row r="191" spans="1:6" ht="38.25" x14ac:dyDescent="0.2">
      <c r="A191" s="116">
        <v>4</v>
      </c>
      <c r="B191" s="121" t="s">
        <v>109</v>
      </c>
      <c r="C191" s="117" t="s">
        <v>22</v>
      </c>
      <c r="D191" s="118">
        <v>528</v>
      </c>
      <c r="E191" s="119">
        <v>6886</v>
      </c>
      <c r="F191" s="230">
        <f t="shared" si="8"/>
        <v>3635808</v>
      </c>
    </row>
    <row r="192" spans="1:6" ht="25.5" x14ac:dyDescent="0.2">
      <c r="A192" s="344">
        <v>5</v>
      </c>
      <c r="B192" s="345" t="s">
        <v>110</v>
      </c>
      <c r="C192" s="117" t="s">
        <v>45</v>
      </c>
      <c r="D192" s="118">
        <v>4</v>
      </c>
      <c r="E192" s="230">
        <v>730341</v>
      </c>
      <c r="F192" s="230">
        <f t="shared" si="8"/>
        <v>2921364</v>
      </c>
    </row>
    <row r="193" spans="1:6" x14ac:dyDescent="0.2">
      <c r="A193" s="116">
        <v>6</v>
      </c>
      <c r="B193" s="264" t="s">
        <v>48</v>
      </c>
      <c r="C193" s="115"/>
      <c r="D193" s="115"/>
      <c r="E193" s="230"/>
      <c r="F193" s="230" t="s">
        <v>0</v>
      </c>
    </row>
    <row r="194" spans="1:6" x14ac:dyDescent="0.2">
      <c r="A194" s="344">
        <v>7</v>
      </c>
      <c r="B194" s="147" t="s">
        <v>111</v>
      </c>
      <c r="C194" s="117" t="s">
        <v>22</v>
      </c>
      <c r="D194" s="118">
        <v>60</v>
      </c>
      <c r="E194" s="230">
        <v>7086</v>
      </c>
      <c r="F194" s="230">
        <f t="shared" si="8"/>
        <v>425160</v>
      </c>
    </row>
    <row r="195" spans="1:6" ht="38.25" x14ac:dyDescent="0.2">
      <c r="A195" s="116">
        <v>8</v>
      </c>
      <c r="B195" s="345" t="s">
        <v>112</v>
      </c>
      <c r="C195" s="117" t="s">
        <v>302</v>
      </c>
      <c r="D195" s="118">
        <v>5</v>
      </c>
      <c r="E195" s="230">
        <v>77371</v>
      </c>
      <c r="F195" s="230">
        <f t="shared" si="8"/>
        <v>386855</v>
      </c>
    </row>
    <row r="196" spans="1:6" x14ac:dyDescent="0.2">
      <c r="A196" s="344">
        <v>9</v>
      </c>
      <c r="B196" s="114" t="s">
        <v>51</v>
      </c>
      <c r="C196" s="115"/>
      <c r="D196" s="115"/>
      <c r="E196" s="230"/>
      <c r="F196" s="230" t="s">
        <v>0</v>
      </c>
    </row>
    <row r="197" spans="1:6" x14ac:dyDescent="0.2">
      <c r="A197" s="116">
        <v>10</v>
      </c>
      <c r="B197" s="123" t="s">
        <v>113</v>
      </c>
      <c r="C197" s="117" t="s">
        <v>302</v>
      </c>
      <c r="D197" s="118">
        <v>179</v>
      </c>
      <c r="E197" s="230">
        <v>24440</v>
      </c>
      <c r="F197" s="230">
        <f t="shared" si="8"/>
        <v>4374760</v>
      </c>
    </row>
    <row r="198" spans="1:6" x14ac:dyDescent="0.2">
      <c r="A198" s="344">
        <v>11</v>
      </c>
      <c r="B198" s="123" t="s">
        <v>139</v>
      </c>
      <c r="C198" s="117" t="s">
        <v>302</v>
      </c>
      <c r="D198" s="118">
        <v>32</v>
      </c>
      <c r="E198" s="230">
        <v>27047</v>
      </c>
      <c r="F198" s="230">
        <f t="shared" si="8"/>
        <v>865504</v>
      </c>
    </row>
    <row r="199" spans="1:6" ht="25.5" x14ac:dyDescent="0.2">
      <c r="A199" s="116">
        <v>12</v>
      </c>
      <c r="B199" s="345" t="s">
        <v>21</v>
      </c>
      <c r="C199" s="117" t="s">
        <v>302</v>
      </c>
      <c r="D199" s="118">
        <v>81.63</v>
      </c>
      <c r="E199" s="230">
        <v>30415</v>
      </c>
      <c r="F199" s="230">
        <f t="shared" si="8"/>
        <v>2482776</v>
      </c>
    </row>
    <row r="200" spans="1:6" x14ac:dyDescent="0.2">
      <c r="A200" s="344">
        <v>13</v>
      </c>
      <c r="B200" s="114" t="s">
        <v>114</v>
      </c>
      <c r="C200" s="115"/>
      <c r="D200" s="115"/>
      <c r="E200" s="230"/>
      <c r="F200" s="230" t="s">
        <v>0</v>
      </c>
    </row>
    <row r="201" spans="1:6" ht="25.5" x14ac:dyDescent="0.2">
      <c r="A201" s="116">
        <v>14</v>
      </c>
      <c r="B201" s="345" t="s">
        <v>141</v>
      </c>
      <c r="C201" s="117" t="s">
        <v>22</v>
      </c>
      <c r="D201" s="118">
        <v>264</v>
      </c>
      <c r="E201" s="230">
        <v>5505</v>
      </c>
      <c r="F201" s="230">
        <f t="shared" si="8"/>
        <v>1453320</v>
      </c>
    </row>
    <row r="202" spans="1:6" ht="38.25" x14ac:dyDescent="0.2">
      <c r="A202" s="344">
        <v>15</v>
      </c>
      <c r="B202" s="121" t="s">
        <v>115</v>
      </c>
      <c r="C202" s="117" t="s">
        <v>116</v>
      </c>
      <c r="D202" s="118">
        <v>23</v>
      </c>
      <c r="E202" s="230">
        <v>38925</v>
      </c>
      <c r="F202" s="230">
        <f t="shared" si="8"/>
        <v>895275</v>
      </c>
    </row>
    <row r="203" spans="1:6" x14ac:dyDescent="0.2">
      <c r="A203" s="116">
        <v>16</v>
      </c>
      <c r="B203" s="123" t="s">
        <v>142</v>
      </c>
      <c r="C203" s="117" t="s">
        <v>45</v>
      </c>
      <c r="D203" s="118">
        <v>4</v>
      </c>
      <c r="E203" s="230">
        <v>83874</v>
      </c>
      <c r="F203" s="230">
        <f t="shared" si="8"/>
        <v>335496</v>
      </c>
    </row>
    <row r="204" spans="1:6" x14ac:dyDescent="0.2">
      <c r="A204" s="344">
        <v>17</v>
      </c>
      <c r="B204" s="114" t="s">
        <v>120</v>
      </c>
      <c r="C204" s="115"/>
      <c r="D204" s="115"/>
      <c r="E204" s="230"/>
      <c r="F204" s="230" t="s">
        <v>0</v>
      </c>
    </row>
    <row r="205" spans="1:6" x14ac:dyDescent="0.2">
      <c r="A205" s="116">
        <v>18</v>
      </c>
      <c r="B205" s="123" t="s">
        <v>25</v>
      </c>
      <c r="C205" s="117" t="s">
        <v>302</v>
      </c>
      <c r="D205" s="118">
        <v>30</v>
      </c>
      <c r="E205" s="230">
        <v>112055</v>
      </c>
      <c r="F205" s="230">
        <f t="shared" si="8"/>
        <v>3361650</v>
      </c>
    </row>
    <row r="206" spans="1:6" ht="25.5" x14ac:dyDescent="0.2">
      <c r="A206" s="344">
        <v>19</v>
      </c>
      <c r="B206" s="345" t="s">
        <v>121</v>
      </c>
      <c r="C206" s="117" t="s">
        <v>302</v>
      </c>
      <c r="D206" s="118">
        <v>129</v>
      </c>
      <c r="E206" s="230">
        <v>20553</v>
      </c>
      <c r="F206" s="230">
        <f t="shared" si="8"/>
        <v>2651337</v>
      </c>
    </row>
    <row r="207" spans="1:6" x14ac:dyDescent="0.2">
      <c r="A207" s="116">
        <v>20</v>
      </c>
      <c r="B207" s="123" t="s">
        <v>145</v>
      </c>
      <c r="C207" s="117" t="s">
        <v>302</v>
      </c>
      <c r="D207" s="118">
        <v>20</v>
      </c>
      <c r="E207" s="230">
        <v>134520</v>
      </c>
      <c r="F207" s="230">
        <f t="shared" si="8"/>
        <v>2690400</v>
      </c>
    </row>
    <row r="208" spans="1:6" x14ac:dyDescent="0.2">
      <c r="A208" s="344">
        <v>21</v>
      </c>
      <c r="B208" s="114" t="s">
        <v>123</v>
      </c>
      <c r="C208" s="115"/>
      <c r="D208" s="115"/>
      <c r="E208" s="230"/>
      <c r="F208" s="230" t="s">
        <v>0</v>
      </c>
    </row>
    <row r="209" spans="1:6" ht="25.5" customHeight="1" x14ac:dyDescent="0.2">
      <c r="A209" s="116">
        <v>22</v>
      </c>
      <c r="B209" s="345" t="s">
        <v>72</v>
      </c>
      <c r="C209" s="117" t="s">
        <v>302</v>
      </c>
      <c r="D209" s="118">
        <v>2</v>
      </c>
      <c r="E209" s="230">
        <v>562312</v>
      </c>
      <c r="F209" s="230">
        <f t="shared" si="8"/>
        <v>1124624</v>
      </c>
    </row>
    <row r="210" spans="1:6" ht="25.5" x14ac:dyDescent="0.2">
      <c r="A210" s="344">
        <v>23</v>
      </c>
      <c r="B210" s="121" t="s">
        <v>647</v>
      </c>
      <c r="C210" s="117" t="s">
        <v>302</v>
      </c>
      <c r="D210" s="118">
        <v>1</v>
      </c>
      <c r="E210" s="230">
        <v>763644</v>
      </c>
      <c r="F210" s="230">
        <f t="shared" si="8"/>
        <v>763644</v>
      </c>
    </row>
    <row r="211" spans="1:6" x14ac:dyDescent="0.2">
      <c r="A211" s="116">
        <v>24</v>
      </c>
      <c r="B211" s="114" t="s">
        <v>74</v>
      </c>
      <c r="C211" s="115"/>
      <c r="D211" s="115"/>
      <c r="E211" s="230"/>
      <c r="F211" s="230" t="s">
        <v>0</v>
      </c>
    </row>
    <row r="212" spans="1:6" ht="25.5" x14ac:dyDescent="0.2">
      <c r="A212" s="344">
        <v>25</v>
      </c>
      <c r="B212" s="345" t="s">
        <v>135</v>
      </c>
      <c r="C212" s="117" t="s">
        <v>136</v>
      </c>
      <c r="D212" s="118">
        <v>200</v>
      </c>
      <c r="E212" s="230">
        <v>5484</v>
      </c>
      <c r="F212" s="230">
        <f t="shared" si="8"/>
        <v>1096800</v>
      </c>
    </row>
    <row r="213" spans="1:6" ht="25.5" x14ac:dyDescent="0.2">
      <c r="A213" s="116">
        <v>26</v>
      </c>
      <c r="B213" s="345" t="s">
        <v>137</v>
      </c>
      <c r="C213" s="117" t="s">
        <v>99</v>
      </c>
      <c r="D213" s="118">
        <v>1.25</v>
      </c>
      <c r="E213" s="230">
        <v>1351875</v>
      </c>
      <c r="F213" s="230">
        <f t="shared" si="8"/>
        <v>1689844</v>
      </c>
    </row>
    <row r="214" spans="1:6" x14ac:dyDescent="0.2">
      <c r="A214" s="344"/>
      <c r="B214" s="114" t="s">
        <v>30</v>
      </c>
      <c r="C214" s="113"/>
      <c r="D214" s="124"/>
      <c r="E214" s="152"/>
      <c r="F214" s="125">
        <f>ROUND(SUM(F187:F213),0)</f>
        <v>32721715</v>
      </c>
    </row>
    <row r="215" spans="1:6" x14ac:dyDescent="0.2">
      <c r="A215" s="126"/>
      <c r="B215" s="126"/>
      <c r="C215" s="126"/>
      <c r="D215" s="126"/>
      <c r="E215" s="126"/>
      <c r="F215" s="126"/>
    </row>
    <row r="216" spans="1:6" x14ac:dyDescent="0.2">
      <c r="A216" s="77" t="s">
        <v>78</v>
      </c>
      <c r="B216" s="109"/>
      <c r="C216" s="109"/>
      <c r="D216" s="109"/>
      <c r="E216" s="109"/>
      <c r="F216" s="111">
        <f>ROUND(F214/1.3495,0)</f>
        <v>24247288</v>
      </c>
    </row>
    <row r="217" spans="1:6" x14ac:dyDescent="0.2">
      <c r="A217" s="77" t="s">
        <v>79</v>
      </c>
      <c r="B217" s="109"/>
      <c r="C217" s="109"/>
      <c r="D217" s="112">
        <v>0.24</v>
      </c>
      <c r="E217" s="109"/>
      <c r="F217" s="111">
        <f>ROUND(F216*D217,0)</f>
        <v>5819349</v>
      </c>
    </row>
    <row r="218" spans="1:6" x14ac:dyDescent="0.2">
      <c r="A218" s="77" t="s">
        <v>32</v>
      </c>
      <c r="B218" s="109"/>
      <c r="C218" s="109"/>
      <c r="D218" s="112">
        <v>0.05</v>
      </c>
      <c r="E218" s="109"/>
      <c r="F218" s="111">
        <f>ROUND(F216*D218,0)</f>
        <v>1212364</v>
      </c>
    </row>
    <row r="219" spans="1:6" x14ac:dyDescent="0.2">
      <c r="A219" s="77" t="s">
        <v>80</v>
      </c>
      <c r="B219" s="85"/>
      <c r="C219" s="85"/>
      <c r="D219" s="112">
        <v>0.05</v>
      </c>
      <c r="E219" s="85"/>
      <c r="F219" s="111">
        <f>ROUND(F216*D219,0)</f>
        <v>1212364</v>
      </c>
    </row>
    <row r="220" spans="1:6" x14ac:dyDescent="0.2">
      <c r="A220" s="77" t="s">
        <v>81</v>
      </c>
      <c r="B220" s="85"/>
      <c r="C220" s="85"/>
      <c r="D220" s="112"/>
      <c r="E220" s="85"/>
      <c r="F220" s="111">
        <f>ROUND(SUM(F216:F219),0)</f>
        <v>32491365</v>
      </c>
    </row>
    <row r="221" spans="1:6" x14ac:dyDescent="0.2">
      <c r="A221" s="77" t="s">
        <v>82</v>
      </c>
      <c r="B221" s="85"/>
      <c r="C221" s="85"/>
      <c r="D221" s="112">
        <v>0.19</v>
      </c>
      <c r="E221" s="85"/>
      <c r="F221" s="111">
        <f>ROUND(F219*D221,0)</f>
        <v>230349</v>
      </c>
    </row>
    <row r="222" spans="1:6" x14ac:dyDescent="0.2">
      <c r="A222" s="88" t="s">
        <v>83</v>
      </c>
      <c r="B222" s="88"/>
      <c r="C222" s="88"/>
      <c r="D222" s="88"/>
      <c r="E222" s="88"/>
      <c r="F222" s="111">
        <f>ROUND(SUM(F220+F221),0)</f>
        <v>32721714</v>
      </c>
    </row>
    <row r="225" spans="1:6" x14ac:dyDescent="0.2">
      <c r="A225" s="632" t="s">
        <v>156</v>
      </c>
      <c r="B225" s="632"/>
      <c r="C225" s="632"/>
      <c r="D225" s="632"/>
      <c r="E225" s="632"/>
      <c r="F225" s="632"/>
    </row>
    <row r="226" spans="1:6" x14ac:dyDescent="0.2">
      <c r="A226" s="627" t="s">
        <v>15</v>
      </c>
      <c r="B226" s="627" t="s">
        <v>16</v>
      </c>
      <c r="C226" s="627" t="s">
        <v>33</v>
      </c>
      <c r="D226" s="627" t="s">
        <v>34</v>
      </c>
      <c r="E226" s="627"/>
      <c r="F226" s="627"/>
    </row>
    <row r="227" spans="1:6" x14ac:dyDescent="0.2">
      <c r="A227" s="627"/>
      <c r="B227" s="627"/>
      <c r="C227" s="627"/>
      <c r="D227" s="113" t="s">
        <v>35</v>
      </c>
      <c r="E227" s="113" t="s">
        <v>36</v>
      </c>
      <c r="F227" s="113" t="s">
        <v>37</v>
      </c>
    </row>
    <row r="228" spans="1:6" x14ac:dyDescent="0.2">
      <c r="A228" s="344">
        <v>1</v>
      </c>
      <c r="B228" s="114" t="s">
        <v>38</v>
      </c>
      <c r="C228" s="627"/>
      <c r="D228" s="627"/>
      <c r="E228" s="627"/>
      <c r="F228" s="115"/>
    </row>
    <row r="229" spans="1:6" ht="25.5" x14ac:dyDescent="0.2">
      <c r="A229" s="116">
        <v>2</v>
      </c>
      <c r="B229" s="345" t="s">
        <v>108</v>
      </c>
      <c r="C229" s="117" t="s">
        <v>22</v>
      </c>
      <c r="D229" s="118">
        <v>372</v>
      </c>
      <c r="E229" s="230">
        <v>4843</v>
      </c>
      <c r="F229" s="230">
        <f t="shared" ref="F229:F256" si="9">ROUND(D229*E229,0)</f>
        <v>1801596</v>
      </c>
    </row>
    <row r="230" spans="1:6" ht="25.5" x14ac:dyDescent="0.2">
      <c r="A230" s="344">
        <v>3</v>
      </c>
      <c r="B230" s="345" t="s">
        <v>19</v>
      </c>
      <c r="C230" s="117" t="s">
        <v>45</v>
      </c>
      <c r="D230" s="118">
        <v>4</v>
      </c>
      <c r="E230" s="230">
        <v>144273</v>
      </c>
      <c r="F230" s="230">
        <f t="shared" si="9"/>
        <v>577092</v>
      </c>
    </row>
    <row r="231" spans="1:6" ht="38.25" x14ac:dyDescent="0.2">
      <c r="A231" s="116">
        <v>4</v>
      </c>
      <c r="B231" s="345" t="s">
        <v>109</v>
      </c>
      <c r="C231" s="117" t="s">
        <v>22</v>
      </c>
      <c r="D231" s="118">
        <v>744</v>
      </c>
      <c r="E231" s="119">
        <v>6886</v>
      </c>
      <c r="F231" s="230">
        <f t="shared" si="9"/>
        <v>5123184</v>
      </c>
    </row>
    <row r="232" spans="1:6" ht="25.5" x14ac:dyDescent="0.2">
      <c r="A232" s="344">
        <v>5</v>
      </c>
      <c r="B232" s="345" t="s">
        <v>110</v>
      </c>
      <c r="C232" s="117" t="s">
        <v>45</v>
      </c>
      <c r="D232" s="118">
        <v>1</v>
      </c>
      <c r="E232" s="230">
        <v>730341</v>
      </c>
      <c r="F232" s="230">
        <f t="shared" si="9"/>
        <v>730341</v>
      </c>
    </row>
    <row r="233" spans="1:6" x14ac:dyDescent="0.2">
      <c r="A233" s="116">
        <v>6</v>
      </c>
      <c r="B233" s="264" t="s">
        <v>48</v>
      </c>
      <c r="C233" s="115"/>
      <c r="D233" s="115"/>
      <c r="E233" s="230"/>
      <c r="F233" s="230" t="s">
        <v>0</v>
      </c>
    </row>
    <row r="234" spans="1:6" x14ac:dyDescent="0.2">
      <c r="A234" s="344">
        <v>7</v>
      </c>
      <c r="B234" s="147" t="s">
        <v>111</v>
      </c>
      <c r="C234" s="117" t="s">
        <v>22</v>
      </c>
      <c r="D234" s="118">
        <v>864</v>
      </c>
      <c r="E234" s="230">
        <v>7086</v>
      </c>
      <c r="F234" s="230">
        <f t="shared" si="9"/>
        <v>6122304</v>
      </c>
    </row>
    <row r="235" spans="1:6" ht="38.25" x14ac:dyDescent="0.2">
      <c r="A235" s="116">
        <v>8</v>
      </c>
      <c r="B235" s="345" t="s">
        <v>112</v>
      </c>
      <c r="C235" s="117" t="s">
        <v>302</v>
      </c>
      <c r="D235" s="118">
        <v>71</v>
      </c>
      <c r="E235" s="230">
        <v>77371</v>
      </c>
      <c r="F235" s="230">
        <f t="shared" si="9"/>
        <v>5493341</v>
      </c>
    </row>
    <row r="236" spans="1:6" x14ac:dyDescent="0.2">
      <c r="A236" s="344">
        <v>9</v>
      </c>
      <c r="B236" s="264" t="s">
        <v>51</v>
      </c>
      <c r="C236" s="115"/>
      <c r="D236" s="115"/>
      <c r="E236" s="230"/>
      <c r="F236" s="230" t="s">
        <v>0</v>
      </c>
    </row>
    <row r="237" spans="1:6" x14ac:dyDescent="0.2">
      <c r="A237" s="116">
        <v>10</v>
      </c>
      <c r="B237" s="345" t="s">
        <v>113</v>
      </c>
      <c r="C237" s="117" t="s">
        <v>302</v>
      </c>
      <c r="D237" s="118">
        <v>381</v>
      </c>
      <c r="E237" s="230">
        <v>24440</v>
      </c>
      <c r="F237" s="230">
        <f t="shared" si="9"/>
        <v>9311640</v>
      </c>
    </row>
    <row r="238" spans="1:6" x14ac:dyDescent="0.2">
      <c r="A238" s="344">
        <v>11</v>
      </c>
      <c r="B238" s="345" t="s">
        <v>139</v>
      </c>
      <c r="C238" s="117" t="s">
        <v>302</v>
      </c>
      <c r="D238" s="118">
        <v>60</v>
      </c>
      <c r="E238" s="230">
        <v>27047</v>
      </c>
      <c r="F238" s="230">
        <f t="shared" si="9"/>
        <v>1622820</v>
      </c>
    </row>
    <row r="239" spans="1:6" ht="25.5" x14ac:dyDescent="0.2">
      <c r="A239" s="116">
        <v>12</v>
      </c>
      <c r="B239" s="345" t="s">
        <v>21</v>
      </c>
      <c r="C239" s="117" t="s">
        <v>302</v>
      </c>
      <c r="D239" s="118">
        <v>242</v>
      </c>
      <c r="E239" s="230">
        <v>30415</v>
      </c>
      <c r="F239" s="230">
        <f t="shared" si="9"/>
        <v>7360430</v>
      </c>
    </row>
    <row r="240" spans="1:6" x14ac:dyDescent="0.2">
      <c r="A240" s="344">
        <v>13</v>
      </c>
      <c r="B240" s="264" t="s">
        <v>114</v>
      </c>
      <c r="C240" s="115"/>
      <c r="D240" s="115"/>
      <c r="E240" s="230"/>
      <c r="F240" s="230" t="s">
        <v>0</v>
      </c>
    </row>
    <row r="241" spans="1:6" ht="25.5" x14ac:dyDescent="0.2">
      <c r="A241" s="116">
        <v>14</v>
      </c>
      <c r="B241" s="345" t="s">
        <v>157</v>
      </c>
      <c r="C241" s="117" t="s">
        <v>22</v>
      </c>
      <c r="D241" s="118">
        <v>372</v>
      </c>
      <c r="E241" s="230">
        <v>18350</v>
      </c>
      <c r="F241" s="230">
        <f t="shared" si="9"/>
        <v>6826200</v>
      </c>
    </row>
    <row r="242" spans="1:6" ht="25.5" x14ac:dyDescent="0.2">
      <c r="A242" s="344">
        <v>15</v>
      </c>
      <c r="B242" s="121" t="s">
        <v>201</v>
      </c>
      <c r="C242" s="117" t="s">
        <v>22</v>
      </c>
      <c r="D242" s="118">
        <v>372</v>
      </c>
      <c r="E242" s="230">
        <v>6370</v>
      </c>
      <c r="F242" s="230">
        <f t="shared" si="9"/>
        <v>2369640</v>
      </c>
    </row>
    <row r="243" spans="1:6" ht="38.25" x14ac:dyDescent="0.2">
      <c r="A243" s="116">
        <v>16</v>
      </c>
      <c r="B243" s="345" t="s">
        <v>115</v>
      </c>
      <c r="C243" s="117" t="s">
        <v>116</v>
      </c>
      <c r="D243" s="118">
        <v>30</v>
      </c>
      <c r="E243" s="230">
        <v>38925</v>
      </c>
      <c r="F243" s="230">
        <f t="shared" si="9"/>
        <v>1167750</v>
      </c>
    </row>
    <row r="244" spans="1:6" x14ac:dyDescent="0.2">
      <c r="A244" s="344">
        <v>17</v>
      </c>
      <c r="B244" s="122" t="s">
        <v>203</v>
      </c>
      <c r="C244" s="117" t="s">
        <v>116</v>
      </c>
      <c r="D244" s="118">
        <v>1</v>
      </c>
      <c r="E244" s="230">
        <v>194622</v>
      </c>
      <c r="F244" s="230">
        <f t="shared" si="9"/>
        <v>194622</v>
      </c>
    </row>
    <row r="245" spans="1:6" ht="38.25" x14ac:dyDescent="0.2">
      <c r="A245" s="116">
        <v>18</v>
      </c>
      <c r="B245" s="121" t="s">
        <v>651</v>
      </c>
      <c r="C245" s="117" t="s">
        <v>116</v>
      </c>
      <c r="D245" s="118">
        <v>1</v>
      </c>
      <c r="E245" s="230">
        <v>350000</v>
      </c>
      <c r="F245" s="230">
        <f t="shared" si="9"/>
        <v>350000</v>
      </c>
    </row>
    <row r="246" spans="1:6" x14ac:dyDescent="0.2">
      <c r="A246" s="344">
        <v>19</v>
      </c>
      <c r="B246" s="123" t="s">
        <v>142</v>
      </c>
      <c r="C246" s="117" t="s">
        <v>45</v>
      </c>
      <c r="D246" s="118">
        <v>4</v>
      </c>
      <c r="E246" s="230">
        <v>175000</v>
      </c>
      <c r="F246" s="230">
        <f t="shared" si="9"/>
        <v>700000</v>
      </c>
    </row>
    <row r="247" spans="1:6" x14ac:dyDescent="0.2">
      <c r="A247" s="116">
        <v>20</v>
      </c>
      <c r="B247" s="114" t="s">
        <v>120</v>
      </c>
      <c r="C247" s="115"/>
      <c r="D247" s="115"/>
      <c r="E247" s="230"/>
      <c r="F247" s="230" t="s">
        <v>0</v>
      </c>
    </row>
    <row r="248" spans="1:6" x14ac:dyDescent="0.2">
      <c r="A248" s="344">
        <v>21</v>
      </c>
      <c r="B248" s="123" t="s">
        <v>25</v>
      </c>
      <c r="C248" s="117" t="s">
        <v>302</v>
      </c>
      <c r="D248" s="118">
        <v>72</v>
      </c>
      <c r="E248" s="230">
        <v>112055</v>
      </c>
      <c r="F248" s="230">
        <f t="shared" si="9"/>
        <v>8067960</v>
      </c>
    </row>
    <row r="249" spans="1:6" ht="25.5" x14ac:dyDescent="0.2">
      <c r="A249" s="116">
        <v>22</v>
      </c>
      <c r="B249" s="345" t="s">
        <v>121</v>
      </c>
      <c r="C249" s="117" t="s">
        <v>302</v>
      </c>
      <c r="D249" s="118">
        <v>210</v>
      </c>
      <c r="E249" s="230">
        <v>20553</v>
      </c>
      <c r="F249" s="230">
        <f t="shared" si="9"/>
        <v>4316130</v>
      </c>
    </row>
    <row r="250" spans="1:6" x14ac:dyDescent="0.2">
      <c r="A250" s="344">
        <v>23</v>
      </c>
      <c r="B250" s="123" t="s">
        <v>143</v>
      </c>
      <c r="C250" s="117" t="s">
        <v>302</v>
      </c>
      <c r="D250" s="118">
        <v>97</v>
      </c>
      <c r="E250" s="230">
        <v>134520</v>
      </c>
      <c r="F250" s="230">
        <f t="shared" si="9"/>
        <v>13048440</v>
      </c>
    </row>
    <row r="251" spans="1:6" x14ac:dyDescent="0.2">
      <c r="A251" s="116">
        <v>24</v>
      </c>
      <c r="B251" s="114" t="s">
        <v>123</v>
      </c>
      <c r="C251" s="115"/>
      <c r="D251" s="115"/>
      <c r="E251" s="230"/>
      <c r="F251" s="230" t="s">
        <v>0</v>
      </c>
    </row>
    <row r="252" spans="1:6" ht="25.5" x14ac:dyDescent="0.2">
      <c r="A252" s="344">
        <v>25</v>
      </c>
      <c r="B252" s="345" t="s">
        <v>72</v>
      </c>
      <c r="C252" s="117" t="s">
        <v>302</v>
      </c>
      <c r="D252" s="118">
        <v>5</v>
      </c>
      <c r="E252" s="230">
        <v>562312</v>
      </c>
      <c r="F252" s="230">
        <f t="shared" si="9"/>
        <v>2811560</v>
      </c>
    </row>
    <row r="253" spans="1:6" ht="25.5" x14ac:dyDescent="0.2">
      <c r="A253" s="116">
        <v>26</v>
      </c>
      <c r="B253" s="121" t="s">
        <v>652</v>
      </c>
      <c r="C253" s="117" t="s">
        <v>302</v>
      </c>
      <c r="D253" s="118">
        <v>70</v>
      </c>
      <c r="E253" s="230">
        <v>763644</v>
      </c>
      <c r="F253" s="230">
        <f t="shared" si="9"/>
        <v>53455080</v>
      </c>
    </row>
    <row r="254" spans="1:6" x14ac:dyDescent="0.2">
      <c r="A254" s="344">
        <v>27</v>
      </c>
      <c r="B254" s="114" t="s">
        <v>74</v>
      </c>
      <c r="C254" s="115"/>
      <c r="D254" s="115"/>
      <c r="E254" s="230"/>
      <c r="F254" s="230" t="s">
        <v>0</v>
      </c>
    </row>
    <row r="255" spans="1:6" ht="25.5" x14ac:dyDescent="0.2">
      <c r="A255" s="116">
        <v>28</v>
      </c>
      <c r="B255" s="121" t="s">
        <v>135</v>
      </c>
      <c r="C255" s="117" t="s">
        <v>136</v>
      </c>
      <c r="D255" s="118">
        <v>360</v>
      </c>
      <c r="E255" s="230">
        <v>5484</v>
      </c>
      <c r="F255" s="230">
        <f t="shared" si="9"/>
        <v>1974240</v>
      </c>
    </row>
    <row r="256" spans="1:6" ht="25.5" x14ac:dyDescent="0.2">
      <c r="A256" s="344">
        <v>29</v>
      </c>
      <c r="B256" s="345" t="s">
        <v>137</v>
      </c>
      <c r="C256" s="117" t="s">
        <v>99</v>
      </c>
      <c r="D256" s="118">
        <v>2</v>
      </c>
      <c r="E256" s="230">
        <v>1351875</v>
      </c>
      <c r="F256" s="230">
        <f t="shared" si="9"/>
        <v>2703750</v>
      </c>
    </row>
    <row r="257" spans="1:6" x14ac:dyDescent="0.2">
      <c r="A257" s="344"/>
      <c r="B257" s="114" t="s">
        <v>30</v>
      </c>
      <c r="C257" s="113"/>
      <c r="D257" s="124"/>
      <c r="E257" s="152"/>
      <c r="F257" s="125">
        <f>ROUND(SUM(F229:F256),0)</f>
        <v>136128120</v>
      </c>
    </row>
    <row r="258" spans="1:6" x14ac:dyDescent="0.2">
      <c r="A258" s="126"/>
      <c r="B258" s="126"/>
      <c r="C258" s="126"/>
      <c r="D258" s="126"/>
      <c r="E258" s="126"/>
      <c r="F258" s="126"/>
    </row>
    <row r="259" spans="1:6" x14ac:dyDescent="0.2">
      <c r="A259" s="77" t="s">
        <v>78</v>
      </c>
      <c r="B259" s="109"/>
      <c r="C259" s="109"/>
      <c r="D259" s="109"/>
      <c r="E259" s="109"/>
      <c r="F259" s="111">
        <f>ROUND(F257/1.3495,0)</f>
        <v>100873005</v>
      </c>
    </row>
    <row r="260" spans="1:6" x14ac:dyDescent="0.2">
      <c r="A260" s="77" t="s">
        <v>79</v>
      </c>
      <c r="B260" s="109"/>
      <c r="C260" s="109"/>
      <c r="D260" s="112">
        <v>0.24</v>
      </c>
      <c r="E260" s="109"/>
      <c r="F260" s="111">
        <f>ROUND(F259*D260,0)</f>
        <v>24209521</v>
      </c>
    </row>
    <row r="261" spans="1:6" x14ac:dyDescent="0.2">
      <c r="A261" s="77" t="s">
        <v>32</v>
      </c>
      <c r="B261" s="109"/>
      <c r="C261" s="109"/>
      <c r="D261" s="112">
        <v>0.05</v>
      </c>
      <c r="E261" s="109"/>
      <c r="F261" s="111">
        <f>ROUND(F259*D261,0)</f>
        <v>5043650</v>
      </c>
    </row>
    <row r="262" spans="1:6" x14ac:dyDescent="0.2">
      <c r="A262" s="77" t="s">
        <v>80</v>
      </c>
      <c r="B262" s="85"/>
      <c r="C262" s="85"/>
      <c r="D262" s="112">
        <v>0.05</v>
      </c>
      <c r="E262" s="85"/>
      <c r="F262" s="111">
        <f>ROUND(F259*D262,0)</f>
        <v>5043650</v>
      </c>
    </row>
    <row r="263" spans="1:6" x14ac:dyDescent="0.2">
      <c r="A263" s="77" t="s">
        <v>81</v>
      </c>
      <c r="B263" s="85"/>
      <c r="C263" s="85"/>
      <c r="D263" s="112"/>
      <c r="E263" s="85"/>
      <c r="F263" s="111">
        <f>ROUND(SUM(F259:F262),0)</f>
        <v>135169826</v>
      </c>
    </row>
    <row r="264" spans="1:6" x14ac:dyDescent="0.2">
      <c r="A264" s="77" t="s">
        <v>82</v>
      </c>
      <c r="B264" s="85"/>
      <c r="C264" s="85"/>
      <c r="D264" s="112">
        <v>0.19</v>
      </c>
      <c r="E264" s="85"/>
      <c r="F264" s="111">
        <f>ROUND(F262*D264,0)</f>
        <v>958294</v>
      </c>
    </row>
    <row r="265" spans="1:6" x14ac:dyDescent="0.2">
      <c r="A265" s="88" t="s">
        <v>83</v>
      </c>
      <c r="B265" s="88"/>
      <c r="C265" s="88"/>
      <c r="D265" s="88"/>
      <c r="E265" s="88"/>
      <c r="F265" s="111">
        <f>ROUND(SUM(F263+F264),0)</f>
        <v>136128120</v>
      </c>
    </row>
    <row r="267" spans="1:6" ht="55.5" customHeight="1" x14ac:dyDescent="0.2">
      <c r="A267" s="636" t="s">
        <v>790</v>
      </c>
      <c r="B267" s="636"/>
      <c r="C267" s="636"/>
      <c r="D267" s="636"/>
      <c r="E267" s="636"/>
      <c r="F267" s="636"/>
    </row>
    <row r="269" spans="1:6" x14ac:dyDescent="0.2">
      <c r="A269" s="265" t="s">
        <v>15</v>
      </c>
      <c r="B269" s="266" t="s">
        <v>16</v>
      </c>
      <c r="C269" s="265" t="s">
        <v>452</v>
      </c>
      <c r="D269" s="267" t="s">
        <v>35</v>
      </c>
      <c r="E269" s="268" t="s">
        <v>175</v>
      </c>
      <c r="F269" s="268" t="s">
        <v>37</v>
      </c>
    </row>
    <row r="270" spans="1:6" x14ac:dyDescent="0.2">
      <c r="A270" s="46">
        <v>1</v>
      </c>
      <c r="B270" s="269" t="s">
        <v>38</v>
      </c>
      <c r="C270" s="270"/>
      <c r="D270" s="271"/>
      <c r="E270" s="272"/>
      <c r="F270" s="273">
        <f>SUM(F271:F275)</f>
        <v>7155709</v>
      </c>
    </row>
    <row r="271" spans="1:6" ht="14.25" x14ac:dyDescent="0.2">
      <c r="A271" s="274" t="s">
        <v>11</v>
      </c>
      <c r="B271" s="275" t="s">
        <v>485</v>
      </c>
      <c r="C271" s="35" t="s">
        <v>735</v>
      </c>
      <c r="D271" s="52">
        <v>1199</v>
      </c>
      <c r="E271" s="276">
        <v>813</v>
      </c>
      <c r="F271" s="53">
        <f>ROUND(D271*E271,0)</f>
        <v>974787</v>
      </c>
    </row>
    <row r="272" spans="1:6" ht="51" x14ac:dyDescent="0.2">
      <c r="A272" s="274" t="s">
        <v>178</v>
      </c>
      <c r="B272" s="277" t="s">
        <v>453</v>
      </c>
      <c r="C272" s="35" t="s">
        <v>22</v>
      </c>
      <c r="D272" s="278">
        <v>999.1</v>
      </c>
      <c r="E272" s="45">
        <v>1187</v>
      </c>
      <c r="F272" s="53">
        <f>ROUND(D272*E272,0)</f>
        <v>1185932</v>
      </c>
    </row>
    <row r="273" spans="1:6" ht="51" x14ac:dyDescent="0.2">
      <c r="A273" s="274" t="s">
        <v>13</v>
      </c>
      <c r="B273" s="279" t="s">
        <v>455</v>
      </c>
      <c r="C273" s="280" t="s">
        <v>22</v>
      </c>
      <c r="D273" s="278">
        <v>333</v>
      </c>
      <c r="E273" s="276">
        <v>5142</v>
      </c>
      <c r="F273" s="53">
        <f>ROUND(D273*E273,0)</f>
        <v>1712286</v>
      </c>
    </row>
    <row r="274" spans="1:6" ht="38.25" x14ac:dyDescent="0.2">
      <c r="A274" s="274" t="s">
        <v>180</v>
      </c>
      <c r="B274" s="279" t="s">
        <v>454</v>
      </c>
      <c r="C274" s="280" t="s">
        <v>14</v>
      </c>
      <c r="D274" s="278">
        <v>1</v>
      </c>
      <c r="E274" s="276">
        <v>896644</v>
      </c>
      <c r="F274" s="53">
        <f>ROUND(D274*E274,0)</f>
        <v>896644</v>
      </c>
    </row>
    <row r="275" spans="1:6" ht="38.25" x14ac:dyDescent="0.2">
      <c r="A275" s="274" t="s">
        <v>208</v>
      </c>
      <c r="B275" s="277" t="s">
        <v>486</v>
      </c>
      <c r="C275" s="35" t="s">
        <v>735</v>
      </c>
      <c r="D275" s="278">
        <v>20</v>
      </c>
      <c r="E275" s="276">
        <v>119303</v>
      </c>
      <c r="F275" s="53">
        <f>ROUND(D275*E275,0)</f>
        <v>2386060</v>
      </c>
    </row>
    <row r="276" spans="1:6" x14ac:dyDescent="0.2">
      <c r="A276" s="281"/>
      <c r="B276" s="281"/>
      <c r="C276" s="281"/>
      <c r="D276" s="282"/>
      <c r="E276" s="283"/>
      <c r="F276" s="284"/>
    </row>
    <row r="277" spans="1:6" x14ac:dyDescent="0.2">
      <c r="A277" s="285">
        <v>2</v>
      </c>
      <c r="B277" s="286" t="s">
        <v>456</v>
      </c>
      <c r="C277" s="269"/>
      <c r="D277" s="287"/>
      <c r="E277" s="288"/>
      <c r="F277" s="289">
        <f>SUM(F278:F289)</f>
        <v>134818599</v>
      </c>
    </row>
    <row r="278" spans="1:6" ht="38.25" x14ac:dyDescent="0.2">
      <c r="A278" s="274" t="s">
        <v>183</v>
      </c>
      <c r="B278" s="277" t="s">
        <v>457</v>
      </c>
      <c r="C278" s="35" t="s">
        <v>728</v>
      </c>
      <c r="D278" s="278">
        <v>1448</v>
      </c>
      <c r="E278" s="45">
        <v>19645</v>
      </c>
      <c r="F278" s="53">
        <f>ROUND(D278*E278,0)</f>
        <v>28445960</v>
      </c>
    </row>
    <row r="279" spans="1:6" ht="38.25" x14ac:dyDescent="0.2">
      <c r="A279" s="274" t="s">
        <v>249</v>
      </c>
      <c r="B279" s="277" t="s">
        <v>458</v>
      </c>
      <c r="C279" s="35" t="s">
        <v>728</v>
      </c>
      <c r="D279" s="278">
        <v>545</v>
      </c>
      <c r="E279" s="45">
        <v>36657</v>
      </c>
      <c r="F279" s="53">
        <f>ROUND(D279*E279,0)</f>
        <v>19978065</v>
      </c>
    </row>
    <row r="280" spans="1:6" ht="38.25" x14ac:dyDescent="0.2">
      <c r="A280" s="274" t="s">
        <v>251</v>
      </c>
      <c r="B280" s="277" t="s">
        <v>459</v>
      </c>
      <c r="C280" s="35" t="s">
        <v>729</v>
      </c>
      <c r="D280" s="278">
        <v>161</v>
      </c>
      <c r="E280" s="45">
        <v>26699</v>
      </c>
      <c r="F280" s="53">
        <f>ROUND(D280*E280,0)</f>
        <v>4298539</v>
      </c>
    </row>
    <row r="281" spans="1:6" ht="38.25" x14ac:dyDescent="0.2">
      <c r="A281" s="274" t="s">
        <v>262</v>
      </c>
      <c r="B281" s="277" t="s">
        <v>460</v>
      </c>
      <c r="C281" s="35" t="s">
        <v>729</v>
      </c>
      <c r="D281" s="278">
        <v>136</v>
      </c>
      <c r="E281" s="45">
        <v>47823</v>
      </c>
      <c r="F281" s="53">
        <f>ROUND(D281*E281,0)</f>
        <v>6503928</v>
      </c>
    </row>
    <row r="282" spans="1:6" ht="25.5" x14ac:dyDescent="0.2">
      <c r="A282" s="274" t="s">
        <v>263</v>
      </c>
      <c r="B282" s="277" t="s">
        <v>461</v>
      </c>
      <c r="C282" s="35" t="s">
        <v>728</v>
      </c>
      <c r="D282" s="278">
        <v>107</v>
      </c>
      <c r="E282" s="45">
        <f>+E278</f>
        <v>19645</v>
      </c>
      <c r="F282" s="53">
        <f t="shared" ref="F282:F288" si="10">ROUND(D282*E282,0)</f>
        <v>2102015</v>
      </c>
    </row>
    <row r="283" spans="1:6" ht="25.5" x14ac:dyDescent="0.2">
      <c r="A283" s="274" t="s">
        <v>264</v>
      </c>
      <c r="B283" s="277" t="s">
        <v>462</v>
      </c>
      <c r="C283" s="35" t="s">
        <v>728</v>
      </c>
      <c r="D283" s="278">
        <v>55</v>
      </c>
      <c r="E283" s="45">
        <f>+E279</f>
        <v>36657</v>
      </c>
      <c r="F283" s="53">
        <f t="shared" si="10"/>
        <v>2016135</v>
      </c>
    </row>
    <row r="284" spans="1:6" ht="38.25" x14ac:dyDescent="0.2">
      <c r="A284" s="274" t="s">
        <v>265</v>
      </c>
      <c r="B284" s="277" t="s">
        <v>463</v>
      </c>
      <c r="C284" s="35" t="s">
        <v>728</v>
      </c>
      <c r="D284" s="290">
        <v>263</v>
      </c>
      <c r="E284" s="45">
        <v>95000</v>
      </c>
      <c r="F284" s="53">
        <f t="shared" si="10"/>
        <v>24985000</v>
      </c>
    </row>
    <row r="285" spans="1:6" ht="38.25" x14ac:dyDescent="0.2">
      <c r="A285" s="274" t="s">
        <v>266</v>
      </c>
      <c r="B285" s="277" t="s">
        <v>464</v>
      </c>
      <c r="C285" s="35" t="s">
        <v>728</v>
      </c>
      <c r="D285" s="290">
        <v>1821</v>
      </c>
      <c r="E285" s="45">
        <v>18251</v>
      </c>
      <c r="F285" s="53">
        <f t="shared" si="10"/>
        <v>33235071</v>
      </c>
    </row>
    <row r="286" spans="1:6" ht="51" x14ac:dyDescent="0.2">
      <c r="A286" s="274" t="s">
        <v>465</v>
      </c>
      <c r="B286" s="121" t="s">
        <v>466</v>
      </c>
      <c r="C286" s="35" t="s">
        <v>728</v>
      </c>
      <c r="D286" s="290">
        <v>96</v>
      </c>
      <c r="E286" s="45">
        <v>34948</v>
      </c>
      <c r="F286" s="53">
        <f t="shared" si="10"/>
        <v>3355008</v>
      </c>
    </row>
    <row r="287" spans="1:6" ht="38.25" x14ac:dyDescent="0.2">
      <c r="A287" s="274" t="s">
        <v>467</v>
      </c>
      <c r="B287" s="121" t="s">
        <v>490</v>
      </c>
      <c r="C287" s="35" t="s">
        <v>735</v>
      </c>
      <c r="D287" s="290">
        <v>492</v>
      </c>
      <c r="E287" s="45">
        <v>6209</v>
      </c>
      <c r="F287" s="53">
        <f t="shared" si="10"/>
        <v>3054828</v>
      </c>
    </row>
    <row r="288" spans="1:6" ht="38.25" x14ac:dyDescent="0.2">
      <c r="A288" s="274" t="s">
        <v>469</v>
      </c>
      <c r="B288" s="277" t="s">
        <v>468</v>
      </c>
      <c r="C288" s="35" t="s">
        <v>728</v>
      </c>
      <c r="D288" s="278">
        <v>487</v>
      </c>
      <c r="E288" s="45">
        <v>8574</v>
      </c>
      <c r="F288" s="53">
        <f t="shared" si="10"/>
        <v>4175538</v>
      </c>
    </row>
    <row r="289" spans="1:6" ht="38.25" x14ac:dyDescent="0.2">
      <c r="A289" s="274" t="s">
        <v>487</v>
      </c>
      <c r="B289" s="277" t="s">
        <v>470</v>
      </c>
      <c r="C289" s="35" t="s">
        <v>728</v>
      </c>
      <c r="D289" s="278">
        <v>112</v>
      </c>
      <c r="E289" s="45">
        <v>23826</v>
      </c>
      <c r="F289" s="53">
        <f>ROUND(D289*E289,0)</f>
        <v>2668512</v>
      </c>
    </row>
    <row r="290" spans="1:6" x14ac:dyDescent="0.2">
      <c r="A290" s="291"/>
      <c r="B290" s="292"/>
      <c r="C290" s="291"/>
      <c r="D290" s="293"/>
      <c r="E290" s="294"/>
      <c r="F290" s="284"/>
    </row>
    <row r="291" spans="1:6" ht="25.5" x14ac:dyDescent="0.2">
      <c r="A291" s="295">
        <v>3</v>
      </c>
      <c r="B291" s="296" t="s">
        <v>471</v>
      </c>
      <c r="C291" s="297"/>
      <c r="D291" s="298"/>
      <c r="E291" s="299"/>
      <c r="F291" s="300">
        <f>SUM(F292:F302)</f>
        <v>75311302</v>
      </c>
    </row>
    <row r="292" spans="1:6" ht="51" x14ac:dyDescent="0.2">
      <c r="A292" s="274" t="s">
        <v>214</v>
      </c>
      <c r="B292" s="277" t="s">
        <v>472</v>
      </c>
      <c r="C292" s="35" t="s">
        <v>329</v>
      </c>
      <c r="D292" s="278">
        <v>59</v>
      </c>
      <c r="E292" s="45">
        <v>423012</v>
      </c>
      <c r="F292" s="53">
        <f t="shared" ref="F292:F302" si="11">ROUND(D292*E292,0)</f>
        <v>24957708</v>
      </c>
    </row>
    <row r="293" spans="1:6" ht="51" x14ac:dyDescent="0.2">
      <c r="A293" s="274" t="s">
        <v>267</v>
      </c>
      <c r="B293" s="277" t="s">
        <v>473</v>
      </c>
      <c r="C293" s="35" t="s">
        <v>14</v>
      </c>
      <c r="D293" s="52">
        <v>21</v>
      </c>
      <c r="E293" s="45">
        <v>354038</v>
      </c>
      <c r="F293" s="53">
        <f t="shared" si="11"/>
        <v>7434798</v>
      </c>
    </row>
    <row r="294" spans="1:6" ht="38.25" x14ac:dyDescent="0.2">
      <c r="A294" s="274" t="s">
        <v>268</v>
      </c>
      <c r="B294" s="277" t="s">
        <v>493</v>
      </c>
      <c r="C294" s="35" t="s">
        <v>14</v>
      </c>
      <c r="D294" s="52">
        <v>20</v>
      </c>
      <c r="E294" s="45">
        <v>100036</v>
      </c>
      <c r="F294" s="53">
        <f>ROUND(D294*E294,0)</f>
        <v>2000720</v>
      </c>
    </row>
    <row r="295" spans="1:6" ht="51" x14ac:dyDescent="0.2">
      <c r="A295" s="274" t="s">
        <v>269</v>
      </c>
      <c r="B295" s="277" t="s">
        <v>474</v>
      </c>
      <c r="C295" s="35" t="s">
        <v>14</v>
      </c>
      <c r="D295" s="52">
        <v>1</v>
      </c>
      <c r="E295" s="45">
        <v>351566</v>
      </c>
      <c r="F295" s="53">
        <f t="shared" si="11"/>
        <v>351566</v>
      </c>
    </row>
    <row r="296" spans="1:6" ht="76.5" x14ac:dyDescent="0.2">
      <c r="A296" s="274" t="s">
        <v>270</v>
      </c>
      <c r="B296" s="301" t="s">
        <v>694</v>
      </c>
      <c r="C296" s="35" t="s">
        <v>329</v>
      </c>
      <c r="D296" s="278">
        <v>999.1</v>
      </c>
      <c r="E296" s="45">
        <v>26000</v>
      </c>
      <c r="F296" s="53">
        <f>ROUND(D296*E296,0)</f>
        <v>25976600</v>
      </c>
    </row>
    <row r="297" spans="1:6" ht="76.5" x14ac:dyDescent="0.2">
      <c r="A297" s="274" t="s">
        <v>271</v>
      </c>
      <c r="B297" s="301" t="s">
        <v>695</v>
      </c>
      <c r="C297" s="35" t="s">
        <v>329</v>
      </c>
      <c r="D297" s="278">
        <v>6.5</v>
      </c>
      <c r="E297" s="45">
        <v>47144</v>
      </c>
      <c r="F297" s="53">
        <f>ROUND(D297*E297,0)</f>
        <v>306436</v>
      </c>
    </row>
    <row r="298" spans="1:6" ht="63.75" x14ac:dyDescent="0.2">
      <c r="A298" s="274" t="s">
        <v>272</v>
      </c>
      <c r="B298" s="301" t="s">
        <v>696</v>
      </c>
      <c r="C298" s="35" t="s">
        <v>728</v>
      </c>
      <c r="D298" s="278">
        <v>2.67</v>
      </c>
      <c r="E298" s="45">
        <v>937173</v>
      </c>
      <c r="F298" s="53">
        <f>ROUND(D298*E298,0)</f>
        <v>2502252</v>
      </c>
    </row>
    <row r="299" spans="1:6" ht="76.5" x14ac:dyDescent="0.2">
      <c r="A299" s="274" t="s">
        <v>273</v>
      </c>
      <c r="B299" s="301" t="s">
        <v>697</v>
      </c>
      <c r="C299" s="35" t="s">
        <v>75</v>
      </c>
      <c r="D299" s="278">
        <v>188</v>
      </c>
      <c r="E299" s="45">
        <v>4860</v>
      </c>
      <c r="F299" s="53">
        <f>ROUND(D299*E299,0)</f>
        <v>913680</v>
      </c>
    </row>
    <row r="300" spans="1:6" ht="25.5" x14ac:dyDescent="0.2">
      <c r="A300" s="274" t="s">
        <v>274</v>
      </c>
      <c r="B300" s="301" t="s">
        <v>477</v>
      </c>
      <c r="C300" s="35" t="s">
        <v>14</v>
      </c>
      <c r="D300" s="302">
        <v>147</v>
      </c>
      <c r="E300" s="45">
        <v>5150</v>
      </c>
      <c r="F300" s="53">
        <f t="shared" si="11"/>
        <v>757050</v>
      </c>
    </row>
    <row r="301" spans="1:6" ht="51" x14ac:dyDescent="0.2">
      <c r="A301" s="274" t="s">
        <v>496</v>
      </c>
      <c r="B301" s="301" t="s">
        <v>698</v>
      </c>
      <c r="C301" s="35" t="s">
        <v>699</v>
      </c>
      <c r="D301" s="302">
        <v>196</v>
      </c>
      <c r="E301" s="45">
        <v>47812</v>
      </c>
      <c r="F301" s="53">
        <f>ROUND(D301*E301,0)</f>
        <v>9371152</v>
      </c>
    </row>
    <row r="302" spans="1:6" ht="51" x14ac:dyDescent="0.2">
      <c r="A302" s="274" t="s">
        <v>497</v>
      </c>
      <c r="B302" s="301" t="s">
        <v>478</v>
      </c>
      <c r="C302" s="35" t="s">
        <v>45</v>
      </c>
      <c r="D302" s="302">
        <v>2</v>
      </c>
      <c r="E302" s="45">
        <v>369670</v>
      </c>
      <c r="F302" s="53">
        <f t="shared" si="11"/>
        <v>739340</v>
      </c>
    </row>
    <row r="303" spans="1:6" x14ac:dyDescent="0.2">
      <c r="A303" s="46">
        <v>4</v>
      </c>
      <c r="B303" s="47" t="s">
        <v>498</v>
      </c>
      <c r="C303" s="48"/>
      <c r="D303" s="49"/>
      <c r="E303" s="50"/>
      <c r="F303" s="51">
        <f>ROUND((SUM(F304:F313)),0)</f>
        <v>52966747</v>
      </c>
    </row>
    <row r="304" spans="1:6" ht="14.25" x14ac:dyDescent="0.2">
      <c r="A304" s="35">
        <v>4.0999999999999996</v>
      </c>
      <c r="B304" s="309" t="s">
        <v>332</v>
      </c>
      <c r="C304" s="35" t="s">
        <v>735</v>
      </c>
      <c r="D304" s="52">
        <v>93.28</v>
      </c>
      <c r="E304" s="45">
        <v>4696.8</v>
      </c>
      <c r="F304" s="53">
        <f t="shared" ref="F304:F312" si="12">ROUND(D304*E304,0)</f>
        <v>438118</v>
      </c>
    </row>
    <row r="305" spans="1:6" ht="14.25" x14ac:dyDescent="0.2">
      <c r="A305" s="35">
        <v>4.2</v>
      </c>
      <c r="B305" s="309" t="s">
        <v>499</v>
      </c>
      <c r="C305" s="35" t="s">
        <v>728</v>
      </c>
      <c r="D305" s="52">
        <v>29.38</v>
      </c>
      <c r="E305" s="45">
        <v>19645</v>
      </c>
      <c r="F305" s="53">
        <f t="shared" si="12"/>
        <v>577170</v>
      </c>
    </row>
    <row r="306" spans="1:6" ht="89.25" x14ac:dyDescent="0.2">
      <c r="A306" s="35">
        <v>4.3</v>
      </c>
      <c r="B306" s="277" t="s">
        <v>700</v>
      </c>
      <c r="C306" s="35" t="s">
        <v>329</v>
      </c>
      <c r="D306" s="52">
        <v>32</v>
      </c>
      <c r="E306" s="45">
        <v>143000</v>
      </c>
      <c r="F306" s="53">
        <f>ROUND(D306*E306,0)</f>
        <v>4576000</v>
      </c>
    </row>
    <row r="307" spans="1:6" ht="25.5" x14ac:dyDescent="0.2">
      <c r="A307" s="35">
        <v>4.4000000000000004</v>
      </c>
      <c r="B307" s="277" t="s">
        <v>500</v>
      </c>
      <c r="C307" s="35" t="s">
        <v>735</v>
      </c>
      <c r="D307" s="52">
        <v>7.2</v>
      </c>
      <c r="E307" s="45">
        <v>19572</v>
      </c>
      <c r="F307" s="53">
        <f>ROUND(D307*E307,0)</f>
        <v>140918</v>
      </c>
    </row>
    <row r="308" spans="1:6" ht="25.5" x14ac:dyDescent="0.2">
      <c r="A308" s="35">
        <v>4.5</v>
      </c>
      <c r="B308" s="277" t="s">
        <v>501</v>
      </c>
      <c r="C308" s="35" t="s">
        <v>728</v>
      </c>
      <c r="D308" s="52">
        <v>3.6</v>
      </c>
      <c r="E308" s="45">
        <v>1073468</v>
      </c>
      <c r="F308" s="53">
        <f t="shared" si="12"/>
        <v>3864485</v>
      </c>
    </row>
    <row r="309" spans="1:6" ht="76.5" x14ac:dyDescent="0.2">
      <c r="A309" s="35">
        <v>4.5999999999999996</v>
      </c>
      <c r="B309" s="301" t="s">
        <v>697</v>
      </c>
      <c r="C309" s="35" t="s">
        <v>130</v>
      </c>
      <c r="D309" s="52">
        <v>144</v>
      </c>
      <c r="E309" s="45">
        <v>4860</v>
      </c>
      <c r="F309" s="53">
        <f>ROUND(D309*E309,0)</f>
        <v>699840</v>
      </c>
    </row>
    <row r="310" spans="1:6" ht="76.5" x14ac:dyDescent="0.2">
      <c r="A310" s="35">
        <v>4.7</v>
      </c>
      <c r="B310" s="277" t="s">
        <v>701</v>
      </c>
      <c r="C310" s="35" t="s">
        <v>130</v>
      </c>
      <c r="D310" s="52">
        <v>2800</v>
      </c>
      <c r="E310" s="45">
        <v>14000</v>
      </c>
      <c r="F310" s="53">
        <f>ROUND(D310*E310,0)</f>
        <v>39200000</v>
      </c>
    </row>
    <row r="311" spans="1:6" ht="76.5" x14ac:dyDescent="0.2">
      <c r="A311" s="35">
        <v>4.8</v>
      </c>
      <c r="B311" s="301" t="s">
        <v>694</v>
      </c>
      <c r="C311" s="35" t="s">
        <v>329</v>
      </c>
      <c r="D311" s="278">
        <v>31.09</v>
      </c>
      <c r="E311" s="45">
        <v>26000</v>
      </c>
      <c r="F311" s="53">
        <f t="shared" si="12"/>
        <v>808340</v>
      </c>
    </row>
    <row r="312" spans="1:6" ht="38.25" x14ac:dyDescent="0.2">
      <c r="A312" s="35">
        <v>4.9000000000000004</v>
      </c>
      <c r="B312" s="277" t="s">
        <v>502</v>
      </c>
      <c r="C312" s="35" t="s">
        <v>329</v>
      </c>
      <c r="D312" s="52">
        <v>31.09</v>
      </c>
      <c r="E312" s="45">
        <v>77516</v>
      </c>
      <c r="F312" s="53">
        <f t="shared" si="12"/>
        <v>2409972</v>
      </c>
    </row>
    <row r="313" spans="1:6" ht="38.25" x14ac:dyDescent="0.2">
      <c r="A313" s="274" t="s">
        <v>476</v>
      </c>
      <c r="B313" s="301" t="s">
        <v>468</v>
      </c>
      <c r="C313" s="35" t="s">
        <v>728</v>
      </c>
      <c r="D313" s="52">
        <v>29.38</v>
      </c>
      <c r="E313" s="45">
        <v>8574</v>
      </c>
      <c r="F313" s="53">
        <f>ROUND(D313*E313,0)</f>
        <v>251904</v>
      </c>
    </row>
    <row r="314" spans="1:6" x14ac:dyDescent="0.2">
      <c r="A314" s="303"/>
      <c r="B314" s="304"/>
      <c r="C314" s="305"/>
      <c r="D314" s="306"/>
      <c r="E314" s="307"/>
      <c r="F314" s="308"/>
    </row>
    <row r="315" spans="1:6" ht="38.25" x14ac:dyDescent="0.2">
      <c r="A315" s="285">
        <v>5</v>
      </c>
      <c r="B315" s="48" t="s">
        <v>494</v>
      </c>
      <c r="C315" s="47"/>
      <c r="D315" s="310"/>
      <c r="E315" s="288"/>
      <c r="F315" s="289">
        <f>SUM(F316:F316)</f>
        <v>27866727</v>
      </c>
    </row>
    <row r="316" spans="1:6" ht="25.5" x14ac:dyDescent="0.2">
      <c r="A316" s="35">
        <v>5.0999999999999996</v>
      </c>
      <c r="B316" s="301" t="s">
        <v>495</v>
      </c>
      <c r="C316" s="35" t="s">
        <v>735</v>
      </c>
      <c r="D316" s="311">
        <v>849</v>
      </c>
      <c r="E316" s="276">
        <v>32823</v>
      </c>
      <c r="F316" s="53">
        <f>ROUND(D316*E316,0)</f>
        <v>27866727</v>
      </c>
    </row>
    <row r="317" spans="1:6" x14ac:dyDescent="0.2">
      <c r="A317" s="305"/>
      <c r="B317" s="312"/>
      <c r="C317" s="305"/>
      <c r="D317" s="313"/>
      <c r="E317" s="314"/>
      <c r="F317" s="308"/>
    </row>
    <row r="318" spans="1:6" x14ac:dyDescent="0.2">
      <c r="A318" s="285">
        <v>6</v>
      </c>
      <c r="B318" s="315" t="s">
        <v>479</v>
      </c>
      <c r="C318" s="224"/>
      <c r="D318" s="287"/>
      <c r="E318" s="226"/>
      <c r="F318" s="316">
        <f>SUM(F319:F319)</f>
        <v>82476100</v>
      </c>
    </row>
    <row r="319" spans="1:6" ht="25.5" x14ac:dyDescent="0.2">
      <c r="A319" s="317">
        <v>6.1</v>
      </c>
      <c r="B319" s="277" t="s">
        <v>480</v>
      </c>
      <c r="C319" s="35" t="s">
        <v>735</v>
      </c>
      <c r="D319" s="278">
        <v>4130</v>
      </c>
      <c r="E319" s="318">
        <v>19970</v>
      </c>
      <c r="F319" s="53">
        <f>ROUND(D319*E319,0)</f>
        <v>82476100</v>
      </c>
    </row>
    <row r="320" spans="1:6" x14ac:dyDescent="0.2">
      <c r="A320" s="291"/>
      <c r="B320" s="319"/>
      <c r="C320" s="291"/>
      <c r="D320" s="293"/>
      <c r="E320" s="293"/>
      <c r="F320" s="293"/>
    </row>
    <row r="321" spans="1:6" x14ac:dyDescent="0.2">
      <c r="A321" s="285">
        <v>7</v>
      </c>
      <c r="B321" s="315" t="s">
        <v>98</v>
      </c>
      <c r="C321" s="224"/>
      <c r="D321" s="287"/>
      <c r="E321" s="287"/>
      <c r="F321" s="320">
        <f>SUM(F322:F322)</f>
        <v>1503259</v>
      </c>
    </row>
    <row r="322" spans="1:6" ht="25.5" x14ac:dyDescent="0.2">
      <c r="A322" s="317">
        <v>7.1</v>
      </c>
      <c r="B322" s="277" t="s">
        <v>137</v>
      </c>
      <c r="C322" s="321" t="s">
        <v>29</v>
      </c>
      <c r="D322" s="278">
        <v>1</v>
      </c>
      <c r="E322" s="322">
        <v>1503259</v>
      </c>
      <c r="F322" s="53">
        <f>ROUND(D322*E322,0)</f>
        <v>1503259</v>
      </c>
    </row>
    <row r="323" spans="1:6" x14ac:dyDescent="0.2">
      <c r="A323" s="588"/>
      <c r="B323" s="587"/>
      <c r="C323" s="588"/>
      <c r="D323" s="589"/>
      <c r="E323" s="589"/>
      <c r="F323" s="589"/>
    </row>
    <row r="324" spans="1:6" x14ac:dyDescent="0.2">
      <c r="A324" s="590"/>
      <c r="B324" s="590" t="s">
        <v>31</v>
      </c>
      <c r="C324" s="591"/>
      <c r="D324" s="592"/>
      <c r="E324" s="593"/>
      <c r="F324" s="41">
        <f>+F270+F277+F291+F303+F315+F318+F321</f>
        <v>382098443</v>
      </c>
    </row>
    <row r="325" spans="1:6" x14ac:dyDescent="0.2">
      <c r="A325" s="590"/>
      <c r="B325" s="590"/>
      <c r="C325" s="591"/>
      <c r="D325" s="592" t="s">
        <v>205</v>
      </c>
      <c r="E325" s="594">
        <v>0.26</v>
      </c>
      <c r="F325" s="41">
        <f>F324*26%</f>
        <v>99345595.180000007</v>
      </c>
    </row>
    <row r="326" spans="1:6" x14ac:dyDescent="0.2">
      <c r="A326" s="590"/>
      <c r="B326" s="590"/>
      <c r="C326" s="591"/>
      <c r="D326" s="592" t="s">
        <v>481</v>
      </c>
      <c r="E326" s="594">
        <v>0.04</v>
      </c>
      <c r="F326" s="41">
        <f>F324*4%</f>
        <v>15283937.720000001</v>
      </c>
    </row>
    <row r="327" spans="1:6" x14ac:dyDescent="0.2">
      <c r="A327" s="590"/>
      <c r="B327" s="590"/>
      <c r="C327" s="591"/>
      <c r="D327" s="592" t="s">
        <v>482</v>
      </c>
      <c r="E327" s="594">
        <v>0.05</v>
      </c>
      <c r="F327" s="41">
        <f>F324*5%</f>
        <v>19104922.150000002</v>
      </c>
    </row>
    <row r="328" spans="1:6" x14ac:dyDescent="0.2">
      <c r="A328" s="590"/>
      <c r="B328" s="590"/>
      <c r="C328" s="591"/>
      <c r="D328" s="592" t="s">
        <v>483</v>
      </c>
      <c r="E328" s="594">
        <v>0.19</v>
      </c>
      <c r="F328" s="41">
        <f>ROUND((F327*E328),0)</f>
        <v>3629935</v>
      </c>
    </row>
    <row r="329" spans="1:6" x14ac:dyDescent="0.2">
      <c r="A329" s="590"/>
      <c r="B329" s="590" t="s">
        <v>331</v>
      </c>
      <c r="C329" s="46"/>
      <c r="D329" s="595"/>
      <c r="E329" s="287"/>
      <c r="F329" s="41">
        <f>SUM(F324:F328)</f>
        <v>519462833.05000001</v>
      </c>
    </row>
    <row r="330" spans="1:6" x14ac:dyDescent="0.2">
      <c r="A330" s="588"/>
      <c r="B330" s="596"/>
      <c r="C330" s="588"/>
      <c r="D330" s="597"/>
      <c r="E330" s="589"/>
      <c r="F330" s="598"/>
    </row>
    <row r="331" spans="1:6" ht="13.5" thickBot="1" x14ac:dyDescent="0.25">
      <c r="A331" s="323"/>
      <c r="B331" s="599" t="s">
        <v>484</v>
      </c>
      <c r="C331" s="600"/>
      <c r="D331" s="601"/>
      <c r="E331" s="602"/>
      <c r="F331" s="603">
        <f>+F329</f>
        <v>519462833.05000001</v>
      </c>
    </row>
    <row r="332" spans="1:6" ht="13.5" thickTop="1" x14ac:dyDescent="0.2"/>
    <row r="334" spans="1:6" ht="15.75" x14ac:dyDescent="0.25">
      <c r="B334" s="352" t="s">
        <v>736</v>
      </c>
      <c r="C334" s="352"/>
      <c r="D334" s="352"/>
      <c r="E334" s="352"/>
      <c r="F334" s="353">
        <f>F265+F214+F175+F133+F80+F33</f>
        <v>302980336</v>
      </c>
    </row>
    <row r="335" spans="1:6" ht="15.75" x14ac:dyDescent="0.25">
      <c r="B335" s="352" t="s">
        <v>737</v>
      </c>
      <c r="C335" s="352"/>
      <c r="D335" s="352"/>
      <c r="E335" s="352"/>
      <c r="F335" s="354">
        <f>F331</f>
        <v>519462833.05000001</v>
      </c>
    </row>
    <row r="336" spans="1:6" ht="15.75" x14ac:dyDescent="0.25">
      <c r="B336" s="352" t="s">
        <v>738</v>
      </c>
      <c r="C336" s="352"/>
      <c r="D336" s="352"/>
      <c r="E336" s="352"/>
      <c r="F336" s="353">
        <f>F334+F335</f>
        <v>822443169.04999995</v>
      </c>
    </row>
  </sheetData>
  <mergeCells count="35">
    <mergeCell ref="A267:F267"/>
    <mergeCell ref="C93:E93"/>
    <mergeCell ref="A6:F6"/>
    <mergeCell ref="A8:A9"/>
    <mergeCell ref="B8:B9"/>
    <mergeCell ref="C8:C9"/>
    <mergeCell ref="D8:F8"/>
    <mergeCell ref="A43:F43"/>
    <mergeCell ref="A45:A46"/>
    <mergeCell ref="B45:B46"/>
    <mergeCell ref="C45:C46"/>
    <mergeCell ref="D45:F45"/>
    <mergeCell ref="A91:A92"/>
    <mergeCell ref="B91:B92"/>
    <mergeCell ref="C91:C92"/>
    <mergeCell ref="A90:F90"/>
    <mergeCell ref="D91:F91"/>
    <mergeCell ref="A144:F144"/>
    <mergeCell ref="A145:A146"/>
    <mergeCell ref="B145:B146"/>
    <mergeCell ref="C145:C146"/>
    <mergeCell ref="D145:F145"/>
    <mergeCell ref="C147:E147"/>
    <mergeCell ref="A185:F185"/>
    <mergeCell ref="A186:A187"/>
    <mergeCell ref="B186:B187"/>
    <mergeCell ref="C186:C187"/>
    <mergeCell ref="D186:F186"/>
    <mergeCell ref="C228:E228"/>
    <mergeCell ref="C188:E188"/>
    <mergeCell ref="A225:F225"/>
    <mergeCell ref="A226:A227"/>
    <mergeCell ref="B226:B227"/>
    <mergeCell ref="C226:C227"/>
    <mergeCell ref="D226:F226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21"/>
  <sheetViews>
    <sheetView zoomScaleNormal="100" workbookViewId="0">
      <pane xSplit="3" ySplit="1" topLeftCell="D501" activePane="bottomRight" state="frozen"/>
      <selection pane="topRight" activeCell="E1" sqref="E1"/>
      <selection pane="bottomLeft" activeCell="A4" sqref="A4"/>
      <selection pane="bottomRight" activeCell="G515" sqref="G515:H521"/>
    </sheetView>
  </sheetViews>
  <sheetFormatPr baseColWidth="10" defaultRowHeight="12.75" x14ac:dyDescent="0.2"/>
  <cols>
    <col min="1" max="1" width="11.42578125" style="205"/>
    <col min="2" max="2" width="34.42578125" style="205" customWidth="1"/>
    <col min="3" max="3" width="11.42578125" style="205"/>
    <col min="4" max="4" width="15" style="357" customWidth="1"/>
    <col min="5" max="5" width="20.42578125" style="358" customWidth="1"/>
    <col min="6" max="6" width="19.42578125" style="205" customWidth="1"/>
    <col min="7" max="7" width="14.85546875" style="205" bestFit="1" customWidth="1"/>
    <col min="8" max="16384" width="11.42578125" style="205"/>
  </cols>
  <sheetData>
    <row r="2" spans="1:6" x14ac:dyDescent="0.2">
      <c r="B2" s="204" t="s">
        <v>756</v>
      </c>
      <c r="C2" s="204"/>
      <c r="D2" s="355"/>
      <c r="E2" s="356"/>
    </row>
    <row r="4" spans="1:6" ht="13.5" thickBot="1" x14ac:dyDescent="0.25"/>
    <row r="5" spans="1:6" ht="30.75" customHeight="1" thickBot="1" x14ac:dyDescent="0.25">
      <c r="A5" s="661" t="s">
        <v>281</v>
      </c>
      <c r="B5" s="662"/>
      <c r="C5" s="662"/>
      <c r="D5" s="662"/>
      <c r="E5" s="662"/>
      <c r="F5" s="663"/>
    </row>
    <row r="6" spans="1:6" x14ac:dyDescent="0.2">
      <c r="A6" s="113" t="s">
        <v>204</v>
      </c>
      <c r="B6" s="113" t="s">
        <v>10</v>
      </c>
      <c r="C6" s="113" t="s">
        <v>174</v>
      </c>
      <c r="D6" s="113" t="s">
        <v>35</v>
      </c>
      <c r="E6" s="113" t="s">
        <v>175</v>
      </c>
      <c r="F6" s="113" t="s">
        <v>176</v>
      </c>
    </row>
    <row r="7" spans="1:6" x14ac:dyDescent="0.2">
      <c r="A7" s="117" t="s">
        <v>177</v>
      </c>
      <c r="B7" s="359" t="s">
        <v>38</v>
      </c>
      <c r="C7" s="117"/>
      <c r="D7" s="360"/>
      <c r="E7" s="361"/>
      <c r="F7" s="361"/>
    </row>
    <row r="8" spans="1:6" ht="38.25" x14ac:dyDescent="0.2">
      <c r="A8" s="117" t="s">
        <v>11</v>
      </c>
      <c r="B8" s="362" t="s">
        <v>279</v>
      </c>
      <c r="C8" s="117" t="s">
        <v>179</v>
      </c>
      <c r="D8" s="360">
        <v>102.8</v>
      </c>
      <c r="E8" s="361">
        <v>7004</v>
      </c>
      <c r="F8" s="361">
        <f t="shared" ref="F8:F11" si="0">ROUND(D8*E8,0)</f>
        <v>720011</v>
      </c>
    </row>
    <row r="9" spans="1:6" ht="51" customHeight="1" x14ac:dyDescent="0.2">
      <c r="A9" s="117" t="s">
        <v>178</v>
      </c>
      <c r="B9" s="363" t="s">
        <v>282</v>
      </c>
      <c r="C9" s="117" t="s">
        <v>179</v>
      </c>
      <c r="D9" s="360">
        <v>145</v>
      </c>
      <c r="E9" s="361">
        <v>11498</v>
      </c>
      <c r="F9" s="361">
        <f t="shared" si="0"/>
        <v>1667210</v>
      </c>
    </row>
    <row r="10" spans="1:6" x14ac:dyDescent="0.2">
      <c r="A10" s="117" t="s">
        <v>13</v>
      </c>
      <c r="B10" s="126" t="s">
        <v>181</v>
      </c>
      <c r="C10" s="117" t="s">
        <v>45</v>
      </c>
      <c r="D10" s="360">
        <v>1</v>
      </c>
      <c r="E10" s="361">
        <v>704170</v>
      </c>
      <c r="F10" s="361">
        <f t="shared" si="0"/>
        <v>704170</v>
      </c>
    </row>
    <row r="11" spans="1:6" ht="25.5" x14ac:dyDescent="0.2">
      <c r="A11" s="117" t="s">
        <v>180</v>
      </c>
      <c r="B11" s="134" t="s">
        <v>283</v>
      </c>
      <c r="C11" s="117" t="s">
        <v>60</v>
      </c>
      <c r="D11" s="360">
        <v>4</v>
      </c>
      <c r="E11" s="361">
        <v>212673</v>
      </c>
      <c r="F11" s="361">
        <f t="shared" si="0"/>
        <v>850692</v>
      </c>
    </row>
    <row r="12" spans="1:6" x14ac:dyDescent="0.2">
      <c r="A12" s="117">
        <v>2</v>
      </c>
      <c r="B12" s="359" t="s">
        <v>182</v>
      </c>
      <c r="C12" s="117"/>
      <c r="D12" s="360"/>
      <c r="E12" s="361"/>
      <c r="F12" s="361"/>
    </row>
    <row r="13" spans="1:6" x14ac:dyDescent="0.2">
      <c r="A13" s="117" t="s">
        <v>183</v>
      </c>
      <c r="B13" s="362" t="s">
        <v>211</v>
      </c>
      <c r="C13" s="117" t="s">
        <v>12</v>
      </c>
      <c r="D13" s="360">
        <v>8.1199999999999992</v>
      </c>
      <c r="E13" s="361">
        <v>130984</v>
      </c>
      <c r="F13" s="361">
        <f t="shared" ref="F13:F16" si="1">ROUND(D13*E13,0)</f>
        <v>1063590</v>
      </c>
    </row>
    <row r="14" spans="1:6" ht="25.5" x14ac:dyDescent="0.2">
      <c r="A14" s="117" t="s">
        <v>249</v>
      </c>
      <c r="B14" s="362" t="s">
        <v>250</v>
      </c>
      <c r="C14" s="117" t="s">
        <v>12</v>
      </c>
      <c r="D14" s="360">
        <v>1.2</v>
      </c>
      <c r="E14" s="361">
        <v>106097</v>
      </c>
      <c r="F14" s="361">
        <f t="shared" si="1"/>
        <v>127316</v>
      </c>
    </row>
    <row r="15" spans="1:6" ht="25.5" x14ac:dyDescent="0.2">
      <c r="A15" s="117" t="s">
        <v>251</v>
      </c>
      <c r="B15" s="362" t="s">
        <v>275</v>
      </c>
      <c r="C15" s="117" t="s">
        <v>12</v>
      </c>
      <c r="D15" s="360">
        <v>12.18</v>
      </c>
      <c r="E15" s="361">
        <v>99682</v>
      </c>
      <c r="F15" s="361">
        <f t="shared" si="1"/>
        <v>1214127</v>
      </c>
    </row>
    <row r="16" spans="1:6" ht="25.5" x14ac:dyDescent="0.2">
      <c r="A16" s="117">
        <v>2.4</v>
      </c>
      <c r="B16" s="362" t="s">
        <v>213</v>
      </c>
      <c r="C16" s="117" t="s">
        <v>12</v>
      </c>
      <c r="D16" s="360">
        <v>0.5</v>
      </c>
      <c r="E16" s="361">
        <v>97951</v>
      </c>
      <c r="F16" s="361">
        <f t="shared" si="1"/>
        <v>48976</v>
      </c>
    </row>
    <row r="17" spans="1:6" x14ac:dyDescent="0.2">
      <c r="A17" s="117">
        <v>3</v>
      </c>
      <c r="B17" s="364" t="s">
        <v>209</v>
      </c>
      <c r="C17" s="117"/>
      <c r="D17" s="360"/>
      <c r="E17" s="361"/>
      <c r="F17" s="361"/>
    </row>
    <row r="18" spans="1:6" ht="25.5" x14ac:dyDescent="0.2">
      <c r="A18" s="117" t="s">
        <v>214</v>
      </c>
      <c r="B18" s="362" t="s">
        <v>185</v>
      </c>
      <c r="C18" s="117" t="s">
        <v>12</v>
      </c>
      <c r="D18" s="360">
        <v>99.35</v>
      </c>
      <c r="E18" s="361">
        <v>33376</v>
      </c>
      <c r="F18" s="361">
        <f t="shared" ref="F18" si="2">ROUND(D18*E18,0)</f>
        <v>3315906</v>
      </c>
    </row>
    <row r="19" spans="1:6" x14ac:dyDescent="0.2">
      <c r="A19" s="117">
        <v>4</v>
      </c>
      <c r="B19" s="364" t="s">
        <v>184</v>
      </c>
      <c r="C19" s="117"/>
      <c r="D19" s="360"/>
      <c r="E19" s="361"/>
      <c r="F19" s="361"/>
    </row>
    <row r="20" spans="1:6" ht="25.5" x14ac:dyDescent="0.2">
      <c r="A20" s="117" t="s">
        <v>186</v>
      </c>
      <c r="B20" s="362" t="s">
        <v>215</v>
      </c>
      <c r="C20" s="117" t="s">
        <v>12</v>
      </c>
      <c r="D20" s="360">
        <v>102.81</v>
      </c>
      <c r="E20" s="361">
        <v>27958</v>
      </c>
      <c r="F20" s="361">
        <f t="shared" ref="F20:F22" si="3">ROUND(D20*E20,0)</f>
        <v>2874362</v>
      </c>
    </row>
    <row r="21" spans="1:6" ht="25.5" x14ac:dyDescent="0.2">
      <c r="A21" s="117">
        <v>4.2</v>
      </c>
      <c r="B21" s="363" t="s">
        <v>252</v>
      </c>
      <c r="C21" s="117" t="s">
        <v>12</v>
      </c>
      <c r="D21" s="360">
        <v>16.239999999999998</v>
      </c>
      <c r="E21" s="361">
        <v>33239</v>
      </c>
      <c r="F21" s="361">
        <f t="shared" si="3"/>
        <v>539801</v>
      </c>
    </row>
    <row r="22" spans="1:6" x14ac:dyDescent="0.2">
      <c r="A22" s="117">
        <v>4.3</v>
      </c>
      <c r="B22" s="363" t="s">
        <v>216</v>
      </c>
      <c r="C22" s="117" t="s">
        <v>22</v>
      </c>
      <c r="D22" s="360">
        <v>30</v>
      </c>
      <c r="E22" s="361">
        <v>31941</v>
      </c>
      <c r="F22" s="361">
        <f t="shared" si="3"/>
        <v>958230</v>
      </c>
    </row>
    <row r="23" spans="1:6" x14ac:dyDescent="0.2">
      <c r="A23" s="117">
        <v>5</v>
      </c>
      <c r="B23" s="364" t="s">
        <v>217</v>
      </c>
      <c r="C23" s="117"/>
      <c r="D23" s="360"/>
      <c r="E23" s="361"/>
      <c r="F23" s="361"/>
    </row>
    <row r="24" spans="1:6" ht="25.5" x14ac:dyDescent="0.2">
      <c r="A24" s="117" t="s">
        <v>188</v>
      </c>
      <c r="B24" s="362" t="s">
        <v>218</v>
      </c>
      <c r="C24" s="117" t="s">
        <v>12</v>
      </c>
      <c r="D24" s="360">
        <v>40.659999999999997</v>
      </c>
      <c r="E24" s="361">
        <v>22948</v>
      </c>
      <c r="F24" s="361">
        <f t="shared" ref="F24:F25" si="4">ROUND(D24*E24,0)</f>
        <v>933066</v>
      </c>
    </row>
    <row r="25" spans="1:6" ht="25.5" x14ac:dyDescent="0.2">
      <c r="A25" s="117" t="s">
        <v>189</v>
      </c>
      <c r="B25" s="362" t="s">
        <v>219</v>
      </c>
      <c r="C25" s="117" t="s">
        <v>12</v>
      </c>
      <c r="D25" s="360">
        <v>16.239999999999998</v>
      </c>
      <c r="E25" s="361">
        <v>98560</v>
      </c>
      <c r="F25" s="361">
        <f t="shared" si="4"/>
        <v>1600614</v>
      </c>
    </row>
    <row r="26" spans="1:6" ht="25.5" x14ac:dyDescent="0.2">
      <c r="A26" s="117">
        <v>6</v>
      </c>
      <c r="B26" s="364" t="s">
        <v>220</v>
      </c>
      <c r="C26" s="117"/>
      <c r="D26" s="360"/>
      <c r="E26" s="361"/>
      <c r="F26" s="361"/>
    </row>
    <row r="27" spans="1:6" ht="25.5" x14ac:dyDescent="0.2">
      <c r="A27" s="117" t="s">
        <v>221</v>
      </c>
      <c r="B27" s="362" t="s">
        <v>276</v>
      </c>
      <c r="C27" s="117" t="s">
        <v>12</v>
      </c>
      <c r="D27" s="360">
        <v>0.5</v>
      </c>
      <c r="E27" s="361">
        <v>92060</v>
      </c>
      <c r="F27" s="361">
        <f t="shared" ref="F27:F29" si="5">ROUND(D27*E27,0)</f>
        <v>46030</v>
      </c>
    </row>
    <row r="28" spans="1:6" ht="51" x14ac:dyDescent="0.2">
      <c r="A28" s="117">
        <v>6.2</v>
      </c>
      <c r="B28" s="362" t="s">
        <v>284</v>
      </c>
      <c r="C28" s="117" t="s">
        <v>12</v>
      </c>
      <c r="D28" s="360">
        <v>16.34</v>
      </c>
      <c r="E28" s="361">
        <v>175955</v>
      </c>
      <c r="F28" s="361">
        <f t="shared" si="5"/>
        <v>2875105</v>
      </c>
    </row>
    <row r="29" spans="1:6" ht="25.5" x14ac:dyDescent="0.2">
      <c r="A29" s="117" t="s">
        <v>254</v>
      </c>
      <c r="B29" s="363" t="s">
        <v>245</v>
      </c>
      <c r="C29" s="117" t="s">
        <v>12</v>
      </c>
      <c r="D29" s="360">
        <v>40.04</v>
      </c>
      <c r="E29" s="361">
        <v>93377</v>
      </c>
      <c r="F29" s="361">
        <f t="shared" si="5"/>
        <v>3738815</v>
      </c>
    </row>
    <row r="30" spans="1:6" x14ac:dyDescent="0.2">
      <c r="A30" s="117">
        <v>7</v>
      </c>
      <c r="B30" s="364" t="s">
        <v>222</v>
      </c>
      <c r="C30" s="117"/>
      <c r="D30" s="360"/>
      <c r="E30" s="361"/>
      <c r="F30" s="361"/>
    </row>
    <row r="31" spans="1:6" ht="38.25" x14ac:dyDescent="0.2">
      <c r="A31" s="117" t="s">
        <v>223</v>
      </c>
      <c r="B31" s="363" t="s">
        <v>285</v>
      </c>
      <c r="C31" s="117" t="s">
        <v>22</v>
      </c>
      <c r="D31" s="360">
        <v>37.799999999999997</v>
      </c>
      <c r="E31" s="361">
        <v>13003</v>
      </c>
      <c r="F31" s="361">
        <f t="shared" ref="F31:F32" si="6">ROUND(D31*E31,0)</f>
        <v>491513</v>
      </c>
    </row>
    <row r="32" spans="1:6" ht="38.25" x14ac:dyDescent="0.2">
      <c r="A32" s="117" t="s">
        <v>286</v>
      </c>
      <c r="B32" s="362" t="s">
        <v>287</v>
      </c>
      <c r="C32" s="117" t="s">
        <v>22</v>
      </c>
      <c r="D32" s="360">
        <v>65</v>
      </c>
      <c r="E32" s="361">
        <v>34673</v>
      </c>
      <c r="F32" s="361">
        <f t="shared" si="6"/>
        <v>2253745</v>
      </c>
    </row>
    <row r="33" spans="1:6" ht="38.25" x14ac:dyDescent="0.2">
      <c r="A33" s="117" t="s">
        <v>224</v>
      </c>
      <c r="B33" s="362" t="s">
        <v>288</v>
      </c>
      <c r="C33" s="117" t="s">
        <v>22</v>
      </c>
      <c r="D33" s="360">
        <v>18</v>
      </c>
      <c r="E33" s="361">
        <v>21671</v>
      </c>
      <c r="F33" s="361">
        <f>+D33*E33</f>
        <v>390078</v>
      </c>
    </row>
    <row r="34" spans="1:6" x14ac:dyDescent="0.2">
      <c r="A34" s="117" t="s">
        <v>225</v>
      </c>
      <c r="B34" s="362" t="s">
        <v>246</v>
      </c>
      <c r="C34" s="117" t="s">
        <v>60</v>
      </c>
      <c r="D34" s="360">
        <v>2</v>
      </c>
      <c r="E34" s="361">
        <v>102875</v>
      </c>
      <c r="F34" s="361">
        <f t="shared" ref="F34:F43" si="7">ROUND(D34*E34,0)</f>
        <v>205750</v>
      </c>
    </row>
    <row r="35" spans="1:6" x14ac:dyDescent="0.2">
      <c r="A35" s="117" t="s">
        <v>227</v>
      </c>
      <c r="B35" s="362" t="s">
        <v>260</v>
      </c>
      <c r="C35" s="117" t="s">
        <v>60</v>
      </c>
      <c r="D35" s="360">
        <v>5</v>
      </c>
      <c r="E35" s="361">
        <v>57569</v>
      </c>
      <c r="F35" s="361">
        <f t="shared" si="7"/>
        <v>287845</v>
      </c>
    </row>
    <row r="36" spans="1:6" ht="25.5" x14ac:dyDescent="0.2">
      <c r="A36" s="117" t="s">
        <v>229</v>
      </c>
      <c r="B36" s="362" t="s">
        <v>259</v>
      </c>
      <c r="C36" s="117" t="s">
        <v>60</v>
      </c>
      <c r="D36" s="360">
        <v>2</v>
      </c>
      <c r="E36" s="361">
        <v>587005</v>
      </c>
      <c r="F36" s="361">
        <f t="shared" si="7"/>
        <v>1174010</v>
      </c>
    </row>
    <row r="37" spans="1:6" ht="63.75" x14ac:dyDescent="0.2">
      <c r="A37" s="117" t="s">
        <v>231</v>
      </c>
      <c r="B37" s="121" t="s">
        <v>235</v>
      </c>
      <c r="C37" s="116" t="s">
        <v>45</v>
      </c>
      <c r="D37" s="227">
        <v>2</v>
      </c>
      <c r="E37" s="213">
        <v>1736428</v>
      </c>
      <c r="F37" s="213">
        <f t="shared" si="7"/>
        <v>3472856</v>
      </c>
    </row>
    <row r="38" spans="1:6" ht="25.5" x14ac:dyDescent="0.2">
      <c r="A38" s="117" t="s">
        <v>233</v>
      </c>
      <c r="B38" s="362" t="s">
        <v>261</v>
      </c>
      <c r="C38" s="117" t="s">
        <v>45</v>
      </c>
      <c r="D38" s="360">
        <v>9</v>
      </c>
      <c r="E38" s="361">
        <v>391684</v>
      </c>
      <c r="F38" s="361">
        <f t="shared" si="7"/>
        <v>3525156</v>
      </c>
    </row>
    <row r="39" spans="1:6" x14ac:dyDescent="0.2">
      <c r="A39" s="117" t="s">
        <v>234</v>
      </c>
      <c r="B39" s="362" t="s">
        <v>277</v>
      </c>
      <c r="C39" s="117" t="s">
        <v>60</v>
      </c>
      <c r="D39" s="360">
        <v>9</v>
      </c>
      <c r="E39" s="361">
        <v>58914</v>
      </c>
      <c r="F39" s="361">
        <f t="shared" si="7"/>
        <v>530226</v>
      </c>
    </row>
    <row r="40" spans="1:6" x14ac:dyDescent="0.2">
      <c r="A40" s="117">
        <v>8</v>
      </c>
      <c r="B40" s="364" t="s">
        <v>236</v>
      </c>
      <c r="C40" s="117"/>
      <c r="D40" s="360"/>
      <c r="E40" s="361"/>
      <c r="F40" s="361" t="s">
        <v>0</v>
      </c>
    </row>
    <row r="41" spans="1:6" x14ac:dyDescent="0.2">
      <c r="A41" s="117" t="s">
        <v>237</v>
      </c>
      <c r="B41" s="362" t="s">
        <v>238</v>
      </c>
      <c r="C41" s="117" t="s">
        <v>22</v>
      </c>
      <c r="D41" s="360">
        <v>230.8</v>
      </c>
      <c r="E41" s="361">
        <v>13193</v>
      </c>
      <c r="F41" s="361">
        <f t="shared" si="7"/>
        <v>3044944</v>
      </c>
    </row>
    <row r="42" spans="1:6" ht="38.25" x14ac:dyDescent="0.2">
      <c r="A42" s="117" t="s">
        <v>239</v>
      </c>
      <c r="B42" s="121" t="s">
        <v>289</v>
      </c>
      <c r="C42" s="117" t="s">
        <v>12</v>
      </c>
      <c r="D42" s="360">
        <v>12.18</v>
      </c>
      <c r="E42" s="361">
        <v>1197592</v>
      </c>
      <c r="F42" s="361">
        <f t="shared" si="7"/>
        <v>14586671</v>
      </c>
    </row>
    <row r="43" spans="1:6" ht="25.5" x14ac:dyDescent="0.2">
      <c r="A43" s="117" t="s">
        <v>240</v>
      </c>
      <c r="B43" s="365" t="s">
        <v>257</v>
      </c>
      <c r="C43" s="117" t="s">
        <v>12</v>
      </c>
      <c r="D43" s="360">
        <v>0.5</v>
      </c>
      <c r="E43" s="361">
        <v>698748</v>
      </c>
      <c r="F43" s="361">
        <f t="shared" si="7"/>
        <v>349374</v>
      </c>
    </row>
    <row r="44" spans="1:6" x14ac:dyDescent="0.2">
      <c r="A44" s="117">
        <v>9</v>
      </c>
      <c r="B44" s="366" t="s">
        <v>242</v>
      </c>
      <c r="C44" s="117"/>
      <c r="D44" s="360"/>
      <c r="E44" s="361"/>
      <c r="F44" s="361"/>
    </row>
    <row r="45" spans="1:6" ht="38.25" x14ac:dyDescent="0.2">
      <c r="A45" s="117" t="s">
        <v>243</v>
      </c>
      <c r="B45" s="362" t="s">
        <v>258</v>
      </c>
      <c r="C45" s="117" t="s">
        <v>206</v>
      </c>
      <c r="D45" s="360">
        <v>1.25</v>
      </c>
      <c r="E45" s="361">
        <v>1503259</v>
      </c>
      <c r="F45" s="361">
        <f t="shared" ref="F45" si="8">ROUND(D45*E45,0)</f>
        <v>1879074</v>
      </c>
    </row>
    <row r="46" spans="1:6" x14ac:dyDescent="0.2">
      <c r="A46" s="126"/>
      <c r="B46" s="126"/>
      <c r="C46" s="117"/>
      <c r="D46" s="117"/>
      <c r="E46" s="361"/>
      <c r="F46" s="361"/>
    </row>
    <row r="47" spans="1:6" x14ac:dyDescent="0.2">
      <c r="A47" s="126"/>
      <c r="B47" s="359" t="s">
        <v>30</v>
      </c>
      <c r="C47" s="117"/>
      <c r="D47" s="117"/>
      <c r="E47" s="361"/>
      <c r="F47" s="125">
        <f>ROUND(SUM(F8:F46),0)</f>
        <v>55469263</v>
      </c>
    </row>
    <row r="48" spans="1:6" x14ac:dyDescent="0.2">
      <c r="A48" s="126"/>
      <c r="B48" s="359"/>
      <c r="C48" s="117"/>
      <c r="D48" s="117"/>
      <c r="E48" s="361"/>
      <c r="F48" s="349"/>
    </row>
    <row r="49" spans="1:6" x14ac:dyDescent="0.2">
      <c r="A49" s="77" t="s">
        <v>78</v>
      </c>
      <c r="B49" s="109"/>
      <c r="C49" s="109"/>
      <c r="D49" s="109"/>
      <c r="E49" s="109"/>
      <c r="F49" s="111">
        <f>ROUND(F47/1.3495,0)</f>
        <v>41103567</v>
      </c>
    </row>
    <row r="50" spans="1:6" x14ac:dyDescent="0.2">
      <c r="A50" s="77" t="s">
        <v>79</v>
      </c>
      <c r="B50" s="109"/>
      <c r="C50" s="109"/>
      <c r="D50" s="112">
        <v>0.24</v>
      </c>
      <c r="E50" s="109"/>
      <c r="F50" s="111">
        <f>ROUND(F49*D50,0)</f>
        <v>9864856</v>
      </c>
    </row>
    <row r="51" spans="1:6" x14ac:dyDescent="0.2">
      <c r="A51" s="77" t="s">
        <v>32</v>
      </c>
      <c r="B51" s="109"/>
      <c r="C51" s="109"/>
      <c r="D51" s="112">
        <v>0.05</v>
      </c>
      <c r="E51" s="109"/>
      <c r="F51" s="111">
        <f>ROUND(F49*D51,0)</f>
        <v>2055178</v>
      </c>
    </row>
    <row r="52" spans="1:6" x14ac:dyDescent="0.2">
      <c r="A52" s="77" t="s">
        <v>80</v>
      </c>
      <c r="B52" s="85"/>
      <c r="C52" s="85"/>
      <c r="D52" s="112">
        <v>0.05</v>
      </c>
      <c r="E52" s="85"/>
      <c r="F52" s="111">
        <f>ROUND(F49*D52,0)</f>
        <v>2055178</v>
      </c>
    </row>
    <row r="53" spans="1:6" x14ac:dyDescent="0.2">
      <c r="A53" s="77" t="s">
        <v>81</v>
      </c>
      <c r="B53" s="85"/>
      <c r="C53" s="85"/>
      <c r="D53" s="112"/>
      <c r="E53" s="85"/>
      <c r="F53" s="111">
        <f>ROUND(SUM(F49:F52),0)</f>
        <v>55078779</v>
      </c>
    </row>
    <row r="54" spans="1:6" x14ac:dyDescent="0.2">
      <c r="A54" s="77" t="s">
        <v>82</v>
      </c>
      <c r="B54" s="85"/>
      <c r="C54" s="85"/>
      <c r="D54" s="112">
        <v>0.19</v>
      </c>
      <c r="E54" s="85"/>
      <c r="F54" s="111">
        <f>ROUND(F52*D54,0)</f>
        <v>390484</v>
      </c>
    </row>
    <row r="55" spans="1:6" x14ac:dyDescent="0.2">
      <c r="A55" s="88" t="s">
        <v>83</v>
      </c>
      <c r="B55" s="88"/>
      <c r="C55" s="88"/>
      <c r="D55" s="88"/>
      <c r="E55" s="88"/>
      <c r="F55" s="111">
        <f>ROUND(SUM(F53+F54),0)</f>
        <v>55469263</v>
      </c>
    </row>
    <row r="58" spans="1:6" ht="38.25" customHeight="1" thickBot="1" x14ac:dyDescent="0.25">
      <c r="A58" s="664" t="s">
        <v>290</v>
      </c>
      <c r="B58" s="665"/>
      <c r="C58" s="665"/>
      <c r="D58" s="665"/>
      <c r="E58" s="665"/>
      <c r="F58" s="666"/>
    </row>
    <row r="59" spans="1:6" x14ac:dyDescent="0.2">
      <c r="A59" s="113" t="s">
        <v>204</v>
      </c>
      <c r="B59" s="113" t="s">
        <v>10</v>
      </c>
      <c r="C59" s="113" t="s">
        <v>174</v>
      </c>
      <c r="D59" s="113" t="s">
        <v>35</v>
      </c>
      <c r="E59" s="113" t="s">
        <v>175</v>
      </c>
      <c r="F59" s="113" t="s">
        <v>176</v>
      </c>
    </row>
    <row r="60" spans="1:6" x14ac:dyDescent="0.2">
      <c r="A60" s="117" t="s">
        <v>177</v>
      </c>
      <c r="B60" s="359" t="s">
        <v>38</v>
      </c>
      <c r="C60" s="117"/>
      <c r="D60" s="360"/>
      <c r="E60" s="361"/>
      <c r="F60" s="361"/>
    </row>
    <row r="61" spans="1:6" ht="38.25" x14ac:dyDescent="0.2">
      <c r="A61" s="117" t="s">
        <v>11</v>
      </c>
      <c r="B61" s="362" t="s">
        <v>279</v>
      </c>
      <c r="C61" s="117" t="s">
        <v>179</v>
      </c>
      <c r="D61" s="360">
        <v>91</v>
      </c>
      <c r="E61" s="361">
        <v>7004</v>
      </c>
      <c r="F61" s="361">
        <f t="shared" ref="F61:F64" si="9">ROUND(D61*E61,0)</f>
        <v>637364</v>
      </c>
    </row>
    <row r="62" spans="1:6" ht="38.25" x14ac:dyDescent="0.2">
      <c r="A62" s="117" t="s">
        <v>178</v>
      </c>
      <c r="B62" s="362" t="s">
        <v>282</v>
      </c>
      <c r="C62" s="117" t="s">
        <v>179</v>
      </c>
      <c r="D62" s="360">
        <v>111</v>
      </c>
      <c r="E62" s="361">
        <v>11498</v>
      </c>
      <c r="F62" s="361">
        <f t="shared" si="9"/>
        <v>1276278</v>
      </c>
    </row>
    <row r="63" spans="1:6" x14ac:dyDescent="0.2">
      <c r="A63" s="117" t="s">
        <v>13</v>
      </c>
      <c r="B63" s="126" t="s">
        <v>181</v>
      </c>
      <c r="C63" s="117" t="s">
        <v>45</v>
      </c>
      <c r="D63" s="360">
        <v>1</v>
      </c>
      <c r="E63" s="361">
        <v>704170</v>
      </c>
      <c r="F63" s="361">
        <f t="shared" si="9"/>
        <v>704170</v>
      </c>
    </row>
    <row r="64" spans="1:6" ht="25.5" x14ac:dyDescent="0.2">
      <c r="A64" s="117" t="s">
        <v>180</v>
      </c>
      <c r="B64" s="134" t="s">
        <v>283</v>
      </c>
      <c r="C64" s="117" t="s">
        <v>60</v>
      </c>
      <c r="D64" s="360">
        <v>4</v>
      </c>
      <c r="E64" s="361">
        <v>212673</v>
      </c>
      <c r="F64" s="361">
        <f t="shared" si="9"/>
        <v>850692</v>
      </c>
    </row>
    <row r="65" spans="1:6" x14ac:dyDescent="0.2">
      <c r="A65" s="117">
        <v>2</v>
      </c>
      <c r="B65" s="359" t="s">
        <v>182</v>
      </c>
      <c r="C65" s="117"/>
      <c r="D65" s="360"/>
      <c r="E65" s="361"/>
      <c r="F65" s="361"/>
    </row>
    <row r="66" spans="1:6" x14ac:dyDescent="0.2">
      <c r="A66" s="117" t="s">
        <v>183</v>
      </c>
      <c r="B66" s="126" t="s">
        <v>211</v>
      </c>
      <c r="C66" s="117" t="s">
        <v>12</v>
      </c>
      <c r="D66" s="360">
        <v>5.88</v>
      </c>
      <c r="E66" s="361">
        <v>130984</v>
      </c>
      <c r="F66" s="361">
        <f t="shared" ref="F66:F69" si="10">ROUND(D66*E66,0)</f>
        <v>770186</v>
      </c>
    </row>
    <row r="67" spans="1:6" ht="25.5" x14ac:dyDescent="0.2">
      <c r="A67" s="117" t="s">
        <v>249</v>
      </c>
      <c r="B67" s="362" t="s">
        <v>250</v>
      </c>
      <c r="C67" s="117" t="s">
        <v>12</v>
      </c>
      <c r="D67" s="360">
        <v>1.2</v>
      </c>
      <c r="E67" s="361">
        <v>106097</v>
      </c>
      <c r="F67" s="361">
        <f t="shared" si="10"/>
        <v>127316</v>
      </c>
    </row>
    <row r="68" spans="1:6" ht="25.5" x14ac:dyDescent="0.2">
      <c r="A68" s="117" t="s">
        <v>251</v>
      </c>
      <c r="B68" s="362" t="s">
        <v>275</v>
      </c>
      <c r="C68" s="117" t="s">
        <v>12</v>
      </c>
      <c r="D68" s="360">
        <v>12.57</v>
      </c>
      <c r="E68" s="361">
        <v>99682</v>
      </c>
      <c r="F68" s="361">
        <f t="shared" si="10"/>
        <v>1253003</v>
      </c>
    </row>
    <row r="69" spans="1:6" ht="25.5" x14ac:dyDescent="0.2">
      <c r="A69" s="117">
        <v>2.4</v>
      </c>
      <c r="B69" s="362" t="s">
        <v>213</v>
      </c>
      <c r="C69" s="117" t="s">
        <v>12</v>
      </c>
      <c r="D69" s="360">
        <v>0.3</v>
      </c>
      <c r="E69" s="361">
        <v>97951</v>
      </c>
      <c r="F69" s="361">
        <f t="shared" si="10"/>
        <v>29385</v>
      </c>
    </row>
    <row r="70" spans="1:6" x14ac:dyDescent="0.2">
      <c r="A70" s="117">
        <v>3</v>
      </c>
      <c r="B70" s="364" t="s">
        <v>209</v>
      </c>
      <c r="C70" s="117"/>
      <c r="D70" s="360"/>
      <c r="E70" s="361"/>
      <c r="F70" s="361"/>
    </row>
    <row r="71" spans="1:6" ht="25.5" x14ac:dyDescent="0.2">
      <c r="A71" s="117" t="s">
        <v>214</v>
      </c>
      <c r="B71" s="362" t="s">
        <v>185</v>
      </c>
      <c r="C71" s="117" t="s">
        <v>12</v>
      </c>
      <c r="D71" s="360">
        <v>72.31</v>
      </c>
      <c r="E71" s="361">
        <v>33376</v>
      </c>
      <c r="F71" s="361">
        <f t="shared" ref="F71" si="11">ROUND(D71*E71,0)</f>
        <v>2413419</v>
      </c>
    </row>
    <row r="72" spans="1:6" x14ac:dyDescent="0.2">
      <c r="A72" s="117">
        <v>4</v>
      </c>
      <c r="B72" s="364" t="s">
        <v>184</v>
      </c>
      <c r="C72" s="117"/>
      <c r="D72" s="360"/>
      <c r="E72" s="361"/>
      <c r="F72" s="361"/>
    </row>
    <row r="73" spans="1:6" ht="25.5" x14ac:dyDescent="0.2">
      <c r="A73" s="117" t="s">
        <v>186</v>
      </c>
      <c r="B73" s="362" t="s">
        <v>215</v>
      </c>
      <c r="C73" s="117" t="s">
        <v>12</v>
      </c>
      <c r="D73" s="360">
        <v>108.14</v>
      </c>
      <c r="E73" s="361">
        <v>27958</v>
      </c>
      <c r="F73" s="361">
        <f t="shared" ref="F73:F75" si="12">ROUND(D73*E73,0)</f>
        <v>3023378</v>
      </c>
    </row>
    <row r="74" spans="1:6" ht="25.5" x14ac:dyDescent="0.2">
      <c r="A74" s="117">
        <v>4.2</v>
      </c>
      <c r="B74" s="363" t="s">
        <v>252</v>
      </c>
      <c r="C74" s="117" t="s">
        <v>12</v>
      </c>
      <c r="D74" s="360">
        <v>11.76</v>
      </c>
      <c r="E74" s="361">
        <v>33239</v>
      </c>
      <c r="F74" s="361">
        <f t="shared" si="12"/>
        <v>390891</v>
      </c>
    </row>
    <row r="75" spans="1:6" x14ac:dyDescent="0.2">
      <c r="A75" s="117">
        <v>4.3</v>
      </c>
      <c r="B75" s="362" t="s">
        <v>216</v>
      </c>
      <c r="C75" s="117" t="s">
        <v>22</v>
      </c>
      <c r="D75" s="360">
        <v>20</v>
      </c>
      <c r="E75" s="361">
        <v>31941</v>
      </c>
      <c r="F75" s="361">
        <f t="shared" si="12"/>
        <v>638820</v>
      </c>
    </row>
    <row r="76" spans="1:6" x14ac:dyDescent="0.2">
      <c r="A76" s="117">
        <v>5</v>
      </c>
      <c r="B76" s="364" t="s">
        <v>217</v>
      </c>
      <c r="C76" s="117"/>
      <c r="D76" s="360"/>
      <c r="E76" s="361"/>
      <c r="F76" s="361"/>
    </row>
    <row r="77" spans="1:6" ht="25.5" x14ac:dyDescent="0.2">
      <c r="A77" s="117" t="s">
        <v>188</v>
      </c>
      <c r="B77" s="362" t="s">
        <v>218</v>
      </c>
      <c r="C77" s="117" t="s">
        <v>12</v>
      </c>
      <c r="D77" s="360">
        <v>58.73</v>
      </c>
      <c r="E77" s="361">
        <v>22948</v>
      </c>
      <c r="F77" s="361">
        <f t="shared" ref="F77:F78" si="13">ROUND(D77*E77,0)</f>
        <v>1347736</v>
      </c>
    </row>
    <row r="78" spans="1:6" ht="25.5" x14ac:dyDescent="0.2">
      <c r="A78" s="117" t="s">
        <v>189</v>
      </c>
      <c r="B78" s="362" t="s">
        <v>219</v>
      </c>
      <c r="C78" s="117" t="s">
        <v>12</v>
      </c>
      <c r="D78" s="360">
        <v>11.76</v>
      </c>
      <c r="E78" s="361">
        <v>98560</v>
      </c>
      <c r="F78" s="361">
        <f t="shared" si="13"/>
        <v>1159066</v>
      </c>
    </row>
    <row r="79" spans="1:6" ht="25.5" x14ac:dyDescent="0.2">
      <c r="A79" s="117">
        <v>6</v>
      </c>
      <c r="B79" s="364" t="s">
        <v>220</v>
      </c>
      <c r="C79" s="117"/>
      <c r="D79" s="360"/>
      <c r="E79" s="361"/>
      <c r="F79" s="361"/>
    </row>
    <row r="80" spans="1:6" ht="25.5" x14ac:dyDescent="0.2">
      <c r="A80" s="117" t="s">
        <v>221</v>
      </c>
      <c r="B80" s="362" t="s">
        <v>276</v>
      </c>
      <c r="C80" s="117" t="s">
        <v>12</v>
      </c>
      <c r="D80" s="360">
        <v>0.3</v>
      </c>
      <c r="E80" s="361">
        <v>92060</v>
      </c>
      <c r="F80" s="361">
        <f t="shared" ref="F80:F82" si="14">ROUND(D80*E80,0)</f>
        <v>27618</v>
      </c>
    </row>
    <row r="81" spans="1:6" ht="51" x14ac:dyDescent="0.2">
      <c r="A81" s="117">
        <v>6.2</v>
      </c>
      <c r="B81" s="362" t="s">
        <v>284</v>
      </c>
      <c r="C81" s="117" t="s">
        <v>12</v>
      </c>
      <c r="D81" s="360">
        <v>15.12</v>
      </c>
      <c r="E81" s="361">
        <v>175955</v>
      </c>
      <c r="F81" s="361">
        <f t="shared" si="14"/>
        <v>2660440</v>
      </c>
    </row>
    <row r="82" spans="1:6" ht="25.5" x14ac:dyDescent="0.2">
      <c r="A82" s="117" t="s">
        <v>254</v>
      </c>
      <c r="B82" s="363" t="s">
        <v>245</v>
      </c>
      <c r="C82" s="117" t="s">
        <v>12</v>
      </c>
      <c r="D82" s="360">
        <v>40.39</v>
      </c>
      <c r="E82" s="361">
        <v>93377</v>
      </c>
      <c r="F82" s="361">
        <f t="shared" si="14"/>
        <v>3771497</v>
      </c>
    </row>
    <row r="83" spans="1:6" x14ac:dyDescent="0.2">
      <c r="A83" s="117">
        <v>7</v>
      </c>
      <c r="B83" s="364" t="s">
        <v>222</v>
      </c>
      <c r="C83" s="117"/>
      <c r="D83" s="360"/>
      <c r="E83" s="361"/>
      <c r="F83" s="361"/>
    </row>
    <row r="84" spans="1:6" ht="38.25" x14ac:dyDescent="0.2">
      <c r="A84" s="117" t="s">
        <v>223</v>
      </c>
      <c r="B84" s="362" t="s">
        <v>285</v>
      </c>
      <c r="C84" s="117" t="s">
        <v>22</v>
      </c>
      <c r="D84" s="360">
        <v>26</v>
      </c>
      <c r="E84" s="361">
        <v>13003</v>
      </c>
      <c r="F84" s="361">
        <f t="shared" ref="F84:F85" si="15">ROUND(D84*E84,0)</f>
        <v>338078</v>
      </c>
    </row>
    <row r="85" spans="1:6" ht="38.25" x14ac:dyDescent="0.2">
      <c r="A85" s="117" t="s">
        <v>286</v>
      </c>
      <c r="B85" s="362" t="s">
        <v>287</v>
      </c>
      <c r="C85" s="117" t="s">
        <v>22</v>
      </c>
      <c r="D85" s="360">
        <v>48</v>
      </c>
      <c r="E85" s="361">
        <v>34673</v>
      </c>
      <c r="F85" s="361">
        <f t="shared" si="15"/>
        <v>1664304</v>
      </c>
    </row>
    <row r="86" spans="1:6" ht="38.25" x14ac:dyDescent="0.2">
      <c r="A86" s="117">
        <v>7.3</v>
      </c>
      <c r="B86" s="362" t="s">
        <v>288</v>
      </c>
      <c r="C86" s="117" t="s">
        <v>22</v>
      </c>
      <c r="D86" s="360">
        <v>36</v>
      </c>
      <c r="E86" s="361">
        <v>21671</v>
      </c>
      <c r="F86" s="361">
        <f>+D86*E86</f>
        <v>780156</v>
      </c>
    </row>
    <row r="87" spans="1:6" x14ac:dyDescent="0.2">
      <c r="A87" s="117" t="s">
        <v>224</v>
      </c>
      <c r="B87" s="362" t="s">
        <v>246</v>
      </c>
      <c r="C87" s="117" t="s">
        <v>60</v>
      </c>
      <c r="D87" s="360">
        <v>2</v>
      </c>
      <c r="E87" s="361">
        <v>102875</v>
      </c>
      <c r="F87" s="361">
        <f t="shared" ref="F87:F98" si="16">ROUND(D87*E87,0)</f>
        <v>205750</v>
      </c>
    </row>
    <row r="88" spans="1:6" ht="25.5" x14ac:dyDescent="0.2">
      <c r="A88" s="117" t="s">
        <v>225</v>
      </c>
      <c r="B88" s="362" t="s">
        <v>280</v>
      </c>
      <c r="C88" s="117" t="s">
        <v>22</v>
      </c>
      <c r="D88" s="360">
        <v>1.9</v>
      </c>
      <c r="E88" s="361">
        <v>714725</v>
      </c>
      <c r="F88" s="361">
        <f t="shared" si="16"/>
        <v>1357978</v>
      </c>
    </row>
    <row r="89" spans="1:6" ht="25.5" x14ac:dyDescent="0.2">
      <c r="A89" s="117" t="s">
        <v>227</v>
      </c>
      <c r="B89" s="362" t="s">
        <v>255</v>
      </c>
      <c r="C89" s="117" t="s">
        <v>60</v>
      </c>
      <c r="D89" s="360">
        <v>2</v>
      </c>
      <c r="E89" s="361">
        <v>532159</v>
      </c>
      <c r="F89" s="361">
        <f t="shared" si="16"/>
        <v>1064318</v>
      </c>
    </row>
    <row r="90" spans="1:6" x14ac:dyDescent="0.2">
      <c r="A90" s="117" t="s">
        <v>229</v>
      </c>
      <c r="B90" s="362" t="s">
        <v>260</v>
      </c>
      <c r="C90" s="117" t="s">
        <v>60</v>
      </c>
      <c r="D90" s="360">
        <v>3</v>
      </c>
      <c r="E90" s="361">
        <v>57569</v>
      </c>
      <c r="F90" s="361">
        <f t="shared" si="16"/>
        <v>172707</v>
      </c>
    </row>
    <row r="91" spans="1:6" ht="25.5" x14ac:dyDescent="0.2">
      <c r="A91" s="117" t="s">
        <v>231</v>
      </c>
      <c r="B91" s="362" t="s">
        <v>259</v>
      </c>
      <c r="C91" s="117" t="s">
        <v>60</v>
      </c>
      <c r="D91" s="360">
        <v>2</v>
      </c>
      <c r="E91" s="361">
        <v>587005</v>
      </c>
      <c r="F91" s="361">
        <f t="shared" si="16"/>
        <v>1174010</v>
      </c>
    </row>
    <row r="92" spans="1:6" ht="63.75" x14ac:dyDescent="0.2">
      <c r="A92" s="117" t="s">
        <v>233</v>
      </c>
      <c r="B92" s="134" t="s">
        <v>235</v>
      </c>
      <c r="C92" s="117" t="s">
        <v>45</v>
      </c>
      <c r="D92" s="367">
        <v>3</v>
      </c>
      <c r="E92" s="361">
        <v>1736428</v>
      </c>
      <c r="F92" s="361">
        <f t="shared" si="16"/>
        <v>5209284</v>
      </c>
    </row>
    <row r="93" spans="1:6" ht="25.5" x14ac:dyDescent="0.2">
      <c r="A93" s="117" t="s">
        <v>234</v>
      </c>
      <c r="B93" s="362" t="s">
        <v>261</v>
      </c>
      <c r="C93" s="117" t="s">
        <v>45</v>
      </c>
      <c r="D93" s="360">
        <v>9</v>
      </c>
      <c r="E93" s="361">
        <v>391684</v>
      </c>
      <c r="F93" s="361">
        <f t="shared" si="16"/>
        <v>3525156</v>
      </c>
    </row>
    <row r="94" spans="1:6" x14ac:dyDescent="0.2">
      <c r="A94" s="117" t="s">
        <v>247</v>
      </c>
      <c r="B94" s="362" t="s">
        <v>277</v>
      </c>
      <c r="C94" s="117" t="s">
        <v>60</v>
      </c>
      <c r="D94" s="360">
        <v>9</v>
      </c>
      <c r="E94" s="361">
        <v>58914</v>
      </c>
      <c r="F94" s="361">
        <f t="shared" si="16"/>
        <v>530226</v>
      </c>
    </row>
    <row r="95" spans="1:6" x14ac:dyDescent="0.2">
      <c r="A95" s="117">
        <v>8</v>
      </c>
      <c r="B95" s="364" t="s">
        <v>236</v>
      </c>
      <c r="C95" s="117"/>
      <c r="D95" s="360"/>
      <c r="E95" s="361"/>
      <c r="F95" s="361" t="s">
        <v>0</v>
      </c>
    </row>
    <row r="96" spans="1:6" x14ac:dyDescent="0.2">
      <c r="A96" s="117" t="s">
        <v>237</v>
      </c>
      <c r="B96" s="362" t="s">
        <v>238</v>
      </c>
      <c r="C96" s="117" t="s">
        <v>22</v>
      </c>
      <c r="D96" s="360">
        <v>162</v>
      </c>
      <c r="E96" s="361">
        <v>13193</v>
      </c>
      <c r="F96" s="361">
        <f t="shared" si="16"/>
        <v>2137266</v>
      </c>
    </row>
    <row r="97" spans="1:6" ht="38.25" x14ac:dyDescent="0.2">
      <c r="A97" s="117" t="s">
        <v>239</v>
      </c>
      <c r="B97" s="121" t="s">
        <v>289</v>
      </c>
      <c r="C97" s="117" t="s">
        <v>12</v>
      </c>
      <c r="D97" s="360">
        <v>11.55</v>
      </c>
      <c r="E97" s="361">
        <v>1197592</v>
      </c>
      <c r="F97" s="361">
        <f t="shared" si="16"/>
        <v>13832188</v>
      </c>
    </row>
    <row r="98" spans="1:6" ht="25.5" x14ac:dyDescent="0.2">
      <c r="A98" s="117" t="s">
        <v>240</v>
      </c>
      <c r="B98" s="365" t="s">
        <v>257</v>
      </c>
      <c r="C98" s="117" t="s">
        <v>12</v>
      </c>
      <c r="D98" s="360">
        <v>0.3</v>
      </c>
      <c r="E98" s="361">
        <v>698748</v>
      </c>
      <c r="F98" s="361">
        <f t="shared" si="16"/>
        <v>209624</v>
      </c>
    </row>
    <row r="99" spans="1:6" x14ac:dyDescent="0.2">
      <c r="A99" s="117">
        <v>9</v>
      </c>
      <c r="B99" s="366" t="s">
        <v>242</v>
      </c>
      <c r="C99" s="117"/>
      <c r="D99" s="360"/>
      <c r="E99" s="361"/>
      <c r="F99" s="361"/>
    </row>
    <row r="100" spans="1:6" ht="38.25" x14ac:dyDescent="0.2">
      <c r="A100" s="117" t="s">
        <v>243</v>
      </c>
      <c r="B100" s="362" t="s">
        <v>258</v>
      </c>
      <c r="C100" s="117" t="s">
        <v>206</v>
      </c>
      <c r="D100" s="360">
        <v>1.25</v>
      </c>
      <c r="E100" s="361">
        <v>1503259</v>
      </c>
      <c r="F100" s="361">
        <f t="shared" ref="F100" si="17">ROUND(D100*E100,0)</f>
        <v>1879074</v>
      </c>
    </row>
    <row r="101" spans="1:6" x14ac:dyDescent="0.2">
      <c r="A101" s="136"/>
      <c r="B101" s="136"/>
      <c r="C101" s="368"/>
      <c r="D101" s="368"/>
      <c r="E101" s="369"/>
      <c r="F101" s="369"/>
    </row>
    <row r="102" spans="1:6" x14ac:dyDescent="0.2">
      <c r="A102" s="126"/>
      <c r="B102" s="359" t="s">
        <v>30</v>
      </c>
      <c r="C102" s="117"/>
      <c r="D102" s="117"/>
      <c r="E102" s="361"/>
      <c r="F102" s="125">
        <f>ROUND(SUM(F61:F101),0)</f>
        <v>55161378</v>
      </c>
    </row>
    <row r="103" spans="1:6" x14ac:dyDescent="0.2">
      <c r="A103" s="126"/>
      <c r="B103" s="359"/>
      <c r="C103" s="117"/>
      <c r="D103" s="117"/>
      <c r="E103" s="361"/>
      <c r="F103" s="349"/>
    </row>
    <row r="104" spans="1:6" x14ac:dyDescent="0.2">
      <c r="A104" s="77" t="s">
        <v>78</v>
      </c>
      <c r="B104" s="109"/>
      <c r="C104" s="109"/>
      <c r="D104" s="109"/>
      <c r="E104" s="109"/>
      <c r="F104" s="111">
        <f>ROUND(F102/1.3495,0)</f>
        <v>40875419</v>
      </c>
    </row>
    <row r="105" spans="1:6" x14ac:dyDescent="0.2">
      <c r="A105" s="77" t="s">
        <v>79</v>
      </c>
      <c r="B105" s="109"/>
      <c r="C105" s="109"/>
      <c r="D105" s="112">
        <v>0.24</v>
      </c>
      <c r="E105" s="109"/>
      <c r="F105" s="111">
        <f>ROUND(F104*D105,0)</f>
        <v>9810101</v>
      </c>
    </row>
    <row r="106" spans="1:6" x14ac:dyDescent="0.2">
      <c r="A106" s="77" t="s">
        <v>32</v>
      </c>
      <c r="B106" s="109"/>
      <c r="C106" s="109"/>
      <c r="D106" s="112">
        <v>0.05</v>
      </c>
      <c r="E106" s="109"/>
      <c r="F106" s="111">
        <f>ROUND(F104*D106,0)</f>
        <v>2043771</v>
      </c>
    </row>
    <row r="107" spans="1:6" x14ac:dyDescent="0.2">
      <c r="A107" s="77" t="s">
        <v>80</v>
      </c>
      <c r="B107" s="85"/>
      <c r="C107" s="85"/>
      <c r="D107" s="112">
        <v>0.05</v>
      </c>
      <c r="E107" s="85"/>
      <c r="F107" s="111">
        <f>ROUND(F104*D107,0)</f>
        <v>2043771</v>
      </c>
    </row>
    <row r="108" spans="1:6" x14ac:dyDescent="0.2">
      <c r="A108" s="77" t="s">
        <v>81</v>
      </c>
      <c r="B108" s="85"/>
      <c r="C108" s="85"/>
      <c r="D108" s="112"/>
      <c r="E108" s="85"/>
      <c r="F108" s="111">
        <f>ROUND(SUM(F104:F107),0)</f>
        <v>54773062</v>
      </c>
    </row>
    <row r="109" spans="1:6" x14ac:dyDescent="0.2">
      <c r="A109" s="77" t="s">
        <v>82</v>
      </c>
      <c r="B109" s="85"/>
      <c r="C109" s="85"/>
      <c r="D109" s="112">
        <v>0.19</v>
      </c>
      <c r="E109" s="85"/>
      <c r="F109" s="111">
        <f>ROUND(F107*D109,0)</f>
        <v>388316</v>
      </c>
    </row>
    <row r="110" spans="1:6" x14ac:dyDescent="0.2">
      <c r="A110" s="88" t="s">
        <v>83</v>
      </c>
      <c r="B110" s="88"/>
      <c r="C110" s="88"/>
      <c r="D110" s="88"/>
      <c r="E110" s="88"/>
      <c r="F110" s="111">
        <f>ROUND(SUM(F108+F109),0)</f>
        <v>55161378</v>
      </c>
    </row>
    <row r="113" spans="1:6" ht="39" customHeight="1" x14ac:dyDescent="0.2">
      <c r="A113" s="370"/>
      <c r="B113" s="659" t="s">
        <v>300</v>
      </c>
      <c r="C113" s="659"/>
      <c r="D113" s="659"/>
      <c r="E113" s="659"/>
      <c r="F113" s="660"/>
    </row>
    <row r="114" spans="1:6" x14ac:dyDescent="0.2">
      <c r="A114" s="655" t="s">
        <v>15</v>
      </c>
      <c r="B114" s="655" t="s">
        <v>16</v>
      </c>
      <c r="C114" s="655" t="s">
        <v>33</v>
      </c>
      <c r="D114" s="638" t="s">
        <v>34</v>
      </c>
      <c r="E114" s="653"/>
      <c r="F114" s="654"/>
    </row>
    <row r="115" spans="1:6" x14ac:dyDescent="0.2">
      <c r="A115" s="656"/>
      <c r="B115" s="656"/>
      <c r="C115" s="656"/>
      <c r="D115" s="113" t="s">
        <v>35</v>
      </c>
      <c r="E115" s="113" t="s">
        <v>36</v>
      </c>
      <c r="F115" s="113" t="s">
        <v>37</v>
      </c>
    </row>
    <row r="116" spans="1:6" x14ac:dyDescent="0.2">
      <c r="A116" s="132">
        <v>1</v>
      </c>
      <c r="B116" s="114" t="s">
        <v>38</v>
      </c>
      <c r="C116" s="638"/>
      <c r="D116" s="653"/>
      <c r="E116" s="654"/>
      <c r="F116" s="115"/>
    </row>
    <row r="117" spans="1:6" ht="25.5" x14ac:dyDescent="0.2">
      <c r="A117" s="116">
        <v>2</v>
      </c>
      <c r="B117" s="134" t="s">
        <v>146</v>
      </c>
      <c r="C117" s="117" t="s">
        <v>22</v>
      </c>
      <c r="D117" s="118">
        <v>236</v>
      </c>
      <c r="E117" s="371">
        <v>5268</v>
      </c>
      <c r="F117" s="371">
        <f t="shared" ref="F117:F142" si="18">ROUND(D117*E117,0)</f>
        <v>1243248</v>
      </c>
    </row>
    <row r="118" spans="1:6" x14ac:dyDescent="0.2">
      <c r="A118" s="132">
        <v>3</v>
      </c>
      <c r="B118" s="123" t="s">
        <v>19</v>
      </c>
      <c r="C118" s="117" t="s">
        <v>14</v>
      </c>
      <c r="D118" s="118">
        <v>4</v>
      </c>
      <c r="E118" s="372">
        <v>169702</v>
      </c>
      <c r="F118" s="371">
        <f t="shared" si="18"/>
        <v>678808</v>
      </c>
    </row>
    <row r="119" spans="1:6" ht="38.25" x14ac:dyDescent="0.2">
      <c r="A119" s="132">
        <v>4</v>
      </c>
      <c r="B119" s="134" t="s">
        <v>301</v>
      </c>
      <c r="C119" s="117" t="s">
        <v>22</v>
      </c>
      <c r="D119" s="118">
        <v>454</v>
      </c>
      <c r="E119" s="372">
        <v>8648</v>
      </c>
      <c r="F119" s="371">
        <f t="shared" si="18"/>
        <v>3926192</v>
      </c>
    </row>
    <row r="120" spans="1:6" x14ac:dyDescent="0.2">
      <c r="A120" s="116">
        <v>5</v>
      </c>
      <c r="B120" s="123" t="s">
        <v>20</v>
      </c>
      <c r="C120" s="117" t="s">
        <v>14</v>
      </c>
      <c r="D120" s="118">
        <v>1</v>
      </c>
      <c r="E120" s="372">
        <v>529650</v>
      </c>
      <c r="F120" s="371">
        <f t="shared" si="18"/>
        <v>529650</v>
      </c>
    </row>
    <row r="121" spans="1:6" x14ac:dyDescent="0.2">
      <c r="A121" s="132">
        <v>6</v>
      </c>
      <c r="B121" s="114" t="s">
        <v>48</v>
      </c>
      <c r="C121" s="638"/>
      <c r="D121" s="653"/>
      <c r="E121" s="654"/>
      <c r="F121" s="371" t="s">
        <v>0</v>
      </c>
    </row>
    <row r="122" spans="1:6" x14ac:dyDescent="0.2">
      <c r="A122" s="116">
        <v>7</v>
      </c>
      <c r="B122" s="147" t="s">
        <v>111</v>
      </c>
      <c r="C122" s="117" t="s">
        <v>22</v>
      </c>
      <c r="D122" s="118">
        <v>1007.2</v>
      </c>
      <c r="E122" s="372">
        <v>9923</v>
      </c>
      <c r="F122" s="371">
        <f t="shared" si="18"/>
        <v>9994446</v>
      </c>
    </row>
    <row r="123" spans="1:6" ht="38.25" x14ac:dyDescent="0.2">
      <c r="A123" s="132">
        <v>8</v>
      </c>
      <c r="B123" s="134" t="s">
        <v>192</v>
      </c>
      <c r="C123" s="117" t="s">
        <v>302</v>
      </c>
      <c r="D123" s="118">
        <v>56.8</v>
      </c>
      <c r="E123" s="372">
        <v>79802</v>
      </c>
      <c r="F123" s="371">
        <f t="shared" si="18"/>
        <v>4532754</v>
      </c>
    </row>
    <row r="124" spans="1:6" x14ac:dyDescent="0.2">
      <c r="A124" s="116">
        <v>9</v>
      </c>
      <c r="B124" s="114" t="s">
        <v>51</v>
      </c>
      <c r="C124" s="638"/>
      <c r="D124" s="653"/>
      <c r="E124" s="654"/>
      <c r="F124" s="371" t="s">
        <v>0</v>
      </c>
    </row>
    <row r="125" spans="1:6" x14ac:dyDescent="0.2">
      <c r="A125" s="132">
        <v>10</v>
      </c>
      <c r="B125" s="123" t="s">
        <v>147</v>
      </c>
      <c r="C125" s="117" t="s">
        <v>302</v>
      </c>
      <c r="D125" s="118">
        <v>197.23</v>
      </c>
      <c r="E125" s="372">
        <v>21029</v>
      </c>
      <c r="F125" s="371">
        <f t="shared" si="18"/>
        <v>4147550</v>
      </c>
    </row>
    <row r="126" spans="1:6" x14ac:dyDescent="0.2">
      <c r="A126" s="132">
        <v>11</v>
      </c>
      <c r="B126" s="123" t="s">
        <v>172</v>
      </c>
      <c r="C126" s="117" t="s">
        <v>302</v>
      </c>
      <c r="D126" s="118">
        <v>80.7</v>
      </c>
      <c r="E126" s="372">
        <v>25001</v>
      </c>
      <c r="F126" s="371">
        <f t="shared" si="18"/>
        <v>2017581</v>
      </c>
    </row>
    <row r="127" spans="1:6" ht="25.5" x14ac:dyDescent="0.2">
      <c r="A127" s="116">
        <v>12</v>
      </c>
      <c r="B127" s="134" t="s">
        <v>303</v>
      </c>
      <c r="C127" s="117" t="s">
        <v>302</v>
      </c>
      <c r="D127" s="118">
        <v>600</v>
      </c>
      <c r="E127" s="372">
        <v>25104</v>
      </c>
      <c r="F127" s="371">
        <f t="shared" si="18"/>
        <v>15062400</v>
      </c>
    </row>
    <row r="128" spans="1:6" x14ac:dyDescent="0.2">
      <c r="A128" s="132">
        <v>13</v>
      </c>
      <c r="B128" s="114" t="s">
        <v>148</v>
      </c>
      <c r="C128" s="638"/>
      <c r="D128" s="653"/>
      <c r="E128" s="654"/>
      <c r="F128" s="371" t="s">
        <v>0</v>
      </c>
    </row>
    <row r="129" spans="1:6" x14ac:dyDescent="0.2">
      <c r="A129" s="116">
        <v>15</v>
      </c>
      <c r="B129" s="123" t="s">
        <v>304</v>
      </c>
      <c r="C129" s="117" t="s">
        <v>22</v>
      </c>
      <c r="D129" s="118">
        <v>222</v>
      </c>
      <c r="E129" s="371">
        <v>13200</v>
      </c>
      <c r="F129" s="371">
        <f t="shared" si="18"/>
        <v>2930400</v>
      </c>
    </row>
    <row r="130" spans="1:6" ht="25.5" x14ac:dyDescent="0.2">
      <c r="A130" s="116">
        <v>16</v>
      </c>
      <c r="B130" s="134" t="s">
        <v>305</v>
      </c>
      <c r="C130" s="117" t="s">
        <v>116</v>
      </c>
      <c r="D130" s="118">
        <v>44</v>
      </c>
      <c r="E130" s="371">
        <v>32100</v>
      </c>
      <c r="F130" s="371">
        <f t="shared" si="18"/>
        <v>1412400</v>
      </c>
    </row>
    <row r="131" spans="1:6" x14ac:dyDescent="0.2">
      <c r="A131" s="116">
        <f t="shared" ref="A131:A144" si="19">A130+1</f>
        <v>17</v>
      </c>
      <c r="B131" s="134" t="s">
        <v>306</v>
      </c>
      <c r="C131" s="117" t="s">
        <v>14</v>
      </c>
      <c r="D131" s="118">
        <v>1</v>
      </c>
      <c r="E131" s="371">
        <v>160500</v>
      </c>
      <c r="F131" s="371">
        <f t="shared" si="18"/>
        <v>160500</v>
      </c>
    </row>
    <row r="132" spans="1:6" x14ac:dyDescent="0.2">
      <c r="A132" s="116">
        <f t="shared" si="19"/>
        <v>18</v>
      </c>
      <c r="B132" s="134" t="s">
        <v>307</v>
      </c>
      <c r="C132" s="117" t="s">
        <v>14</v>
      </c>
      <c r="D132" s="118">
        <v>1</v>
      </c>
      <c r="E132" s="371">
        <v>214000</v>
      </c>
      <c r="F132" s="371">
        <f t="shared" si="18"/>
        <v>214000</v>
      </c>
    </row>
    <row r="133" spans="1:6" ht="25.5" x14ac:dyDescent="0.2">
      <c r="A133" s="116">
        <f t="shared" si="19"/>
        <v>19</v>
      </c>
      <c r="B133" s="134" t="s">
        <v>308</v>
      </c>
      <c r="C133" s="117" t="s">
        <v>14</v>
      </c>
      <c r="D133" s="118">
        <v>1</v>
      </c>
      <c r="E133" s="371">
        <v>481500</v>
      </c>
      <c r="F133" s="371">
        <f t="shared" si="18"/>
        <v>481500</v>
      </c>
    </row>
    <row r="134" spans="1:6" x14ac:dyDescent="0.2">
      <c r="A134" s="116">
        <f t="shared" si="19"/>
        <v>20</v>
      </c>
      <c r="B134" s="123" t="s">
        <v>309</v>
      </c>
      <c r="C134" s="117" t="s">
        <v>14</v>
      </c>
      <c r="D134" s="373">
        <v>12</v>
      </c>
      <c r="E134" s="151">
        <v>69169</v>
      </c>
      <c r="F134" s="371">
        <f t="shared" si="18"/>
        <v>830028</v>
      </c>
    </row>
    <row r="135" spans="1:6" x14ac:dyDescent="0.2">
      <c r="A135" s="116">
        <f t="shared" si="19"/>
        <v>21</v>
      </c>
      <c r="B135" s="114" t="s">
        <v>120</v>
      </c>
      <c r="C135" s="117"/>
      <c r="D135" s="118"/>
      <c r="E135" s="371"/>
      <c r="F135" s="371"/>
    </row>
    <row r="136" spans="1:6" x14ac:dyDescent="0.2">
      <c r="A136" s="116">
        <f t="shared" si="19"/>
        <v>22</v>
      </c>
      <c r="B136" s="123" t="s">
        <v>25</v>
      </c>
      <c r="C136" s="117" t="s">
        <v>302</v>
      </c>
      <c r="D136" s="118">
        <v>33.630000000000003</v>
      </c>
      <c r="E136" s="371">
        <v>70235</v>
      </c>
      <c r="F136" s="371">
        <f t="shared" si="18"/>
        <v>2362003</v>
      </c>
    </row>
    <row r="137" spans="1:6" ht="25.5" x14ac:dyDescent="0.2">
      <c r="A137" s="116">
        <f t="shared" si="19"/>
        <v>23</v>
      </c>
      <c r="B137" s="134" t="s">
        <v>310</v>
      </c>
      <c r="C137" s="117" t="s">
        <v>302</v>
      </c>
      <c r="D137" s="118">
        <v>121.64</v>
      </c>
      <c r="E137" s="371">
        <v>74133</v>
      </c>
      <c r="F137" s="371">
        <f t="shared" si="18"/>
        <v>9017538</v>
      </c>
    </row>
    <row r="138" spans="1:6" x14ac:dyDescent="0.2">
      <c r="A138" s="116">
        <f t="shared" si="19"/>
        <v>24</v>
      </c>
      <c r="B138" s="123" t="s">
        <v>143</v>
      </c>
      <c r="C138" s="117" t="s">
        <v>302</v>
      </c>
      <c r="D138" s="118">
        <v>82.85</v>
      </c>
      <c r="E138" s="151">
        <v>132347</v>
      </c>
      <c r="F138" s="371">
        <f t="shared" si="18"/>
        <v>10964949</v>
      </c>
    </row>
    <row r="139" spans="1:6" x14ac:dyDescent="0.2">
      <c r="A139" s="116">
        <f t="shared" si="19"/>
        <v>25</v>
      </c>
      <c r="B139" s="114" t="s">
        <v>123</v>
      </c>
      <c r="C139" s="117"/>
      <c r="D139" s="118"/>
      <c r="E139" s="371"/>
      <c r="F139" s="371"/>
    </row>
    <row r="140" spans="1:6" ht="25.5" x14ac:dyDescent="0.2">
      <c r="A140" s="116">
        <f t="shared" si="19"/>
        <v>26</v>
      </c>
      <c r="B140" s="134" t="s">
        <v>311</v>
      </c>
      <c r="C140" s="117" t="s">
        <v>302</v>
      </c>
      <c r="D140" s="118">
        <v>9</v>
      </c>
      <c r="E140" s="371">
        <v>525572</v>
      </c>
      <c r="F140" s="371">
        <f t="shared" si="18"/>
        <v>4730148</v>
      </c>
    </row>
    <row r="141" spans="1:6" ht="38.25" x14ac:dyDescent="0.2">
      <c r="A141" s="116">
        <f t="shared" si="19"/>
        <v>27</v>
      </c>
      <c r="B141" s="134" t="s">
        <v>312</v>
      </c>
      <c r="C141" s="117" t="s">
        <v>302</v>
      </c>
      <c r="D141" s="232">
        <v>64.56</v>
      </c>
      <c r="E141" s="151">
        <v>768991</v>
      </c>
      <c r="F141" s="371">
        <f t="shared" si="18"/>
        <v>49646059</v>
      </c>
    </row>
    <row r="142" spans="1:6" x14ac:dyDescent="0.2">
      <c r="A142" s="116">
        <f t="shared" si="19"/>
        <v>28</v>
      </c>
      <c r="B142" s="123" t="s">
        <v>313</v>
      </c>
      <c r="C142" s="117" t="s">
        <v>302</v>
      </c>
      <c r="D142" s="232">
        <v>1</v>
      </c>
      <c r="E142" s="151">
        <v>900784</v>
      </c>
      <c r="F142" s="371">
        <f t="shared" si="18"/>
        <v>900784</v>
      </c>
    </row>
    <row r="143" spans="1:6" x14ac:dyDescent="0.2">
      <c r="A143" s="116">
        <f t="shared" si="19"/>
        <v>29</v>
      </c>
      <c r="B143" s="114" t="s">
        <v>74</v>
      </c>
      <c r="C143" s="117"/>
      <c r="D143" s="118"/>
      <c r="E143" s="371"/>
      <c r="F143" s="371"/>
    </row>
    <row r="144" spans="1:6" x14ac:dyDescent="0.2">
      <c r="A144" s="116">
        <f t="shared" si="19"/>
        <v>30</v>
      </c>
      <c r="B144" s="123" t="s">
        <v>171</v>
      </c>
      <c r="C144" s="117" t="s">
        <v>136</v>
      </c>
      <c r="D144" s="118">
        <v>200</v>
      </c>
      <c r="E144" s="371">
        <v>4239</v>
      </c>
      <c r="F144" s="371">
        <f t="shared" ref="F144" si="20">ROUND(D144*E144,0)</f>
        <v>847800</v>
      </c>
    </row>
    <row r="145" spans="1:6" x14ac:dyDescent="0.2">
      <c r="A145" s="132"/>
      <c r="B145" s="123"/>
      <c r="C145" s="117"/>
      <c r="D145" s="118"/>
      <c r="E145" s="371"/>
      <c r="F145" s="371"/>
    </row>
    <row r="146" spans="1:6" x14ac:dyDescent="0.2">
      <c r="A146" s="126"/>
      <c r="B146" s="114" t="s">
        <v>30</v>
      </c>
      <c r="C146" s="126"/>
      <c r="D146" s="126"/>
      <c r="E146" s="126"/>
      <c r="F146" s="125">
        <f>ROUND(SUM(F117:F145),0)</f>
        <v>126630738</v>
      </c>
    </row>
    <row r="147" spans="1:6" x14ac:dyDescent="0.2">
      <c r="D147" s="205"/>
      <c r="E147" s="205"/>
    </row>
    <row r="148" spans="1:6" x14ac:dyDescent="0.2">
      <c r="A148" s="77" t="s">
        <v>78</v>
      </c>
      <c r="B148" s="109"/>
      <c r="C148" s="109"/>
      <c r="D148" s="109"/>
      <c r="E148" s="109"/>
      <c r="F148" s="111">
        <f>ROUND(F146/1.3495,0)</f>
        <v>93835300</v>
      </c>
    </row>
    <row r="149" spans="1:6" x14ac:dyDescent="0.2">
      <c r="A149" s="77" t="s">
        <v>79</v>
      </c>
      <c r="B149" s="109"/>
      <c r="C149" s="109"/>
      <c r="D149" s="112">
        <v>0.24</v>
      </c>
      <c r="E149" s="109"/>
      <c r="F149" s="111">
        <f>ROUND(F148*D149,0)</f>
        <v>22520472</v>
      </c>
    </row>
    <row r="150" spans="1:6" x14ac:dyDescent="0.2">
      <c r="A150" s="77" t="s">
        <v>32</v>
      </c>
      <c r="B150" s="109"/>
      <c r="C150" s="109"/>
      <c r="D150" s="112">
        <v>0.05</v>
      </c>
      <c r="E150" s="109"/>
      <c r="F150" s="111">
        <f>ROUND(F148*D150,0)</f>
        <v>4691765</v>
      </c>
    </row>
    <row r="151" spans="1:6" x14ac:dyDescent="0.2">
      <c r="A151" s="77" t="s">
        <v>80</v>
      </c>
      <c r="B151" s="85"/>
      <c r="C151" s="85"/>
      <c r="D151" s="112">
        <v>0.05</v>
      </c>
      <c r="E151" s="85"/>
      <c r="F151" s="111">
        <f>ROUND(F148*D151,0)</f>
        <v>4691765</v>
      </c>
    </row>
    <row r="152" spans="1:6" x14ac:dyDescent="0.2">
      <c r="A152" s="77" t="s">
        <v>81</v>
      </c>
      <c r="B152" s="85"/>
      <c r="C152" s="85"/>
      <c r="D152" s="112"/>
      <c r="E152" s="85"/>
      <c r="F152" s="111">
        <f>ROUND(SUM(F148:F151),0)</f>
        <v>125739302</v>
      </c>
    </row>
    <row r="153" spans="1:6" x14ac:dyDescent="0.2">
      <c r="A153" s="77" t="s">
        <v>82</v>
      </c>
      <c r="B153" s="85"/>
      <c r="C153" s="85"/>
      <c r="D153" s="112">
        <v>0.19</v>
      </c>
      <c r="E153" s="85"/>
      <c r="F153" s="111">
        <f>ROUND(F151*D153,0)</f>
        <v>891435</v>
      </c>
    </row>
    <row r="154" spans="1:6" x14ac:dyDescent="0.2">
      <c r="A154" s="657" t="s">
        <v>83</v>
      </c>
      <c r="B154" s="658"/>
      <c r="C154" s="88"/>
      <c r="D154" s="88"/>
      <c r="E154" s="88"/>
      <c r="F154" s="111">
        <f>ROUND(SUM(F152+F153),0)</f>
        <v>126630737</v>
      </c>
    </row>
    <row r="157" spans="1:6" ht="33" customHeight="1" x14ac:dyDescent="0.2">
      <c r="A157" s="370"/>
      <c r="B157" s="659" t="s">
        <v>314</v>
      </c>
      <c r="C157" s="659"/>
      <c r="D157" s="659"/>
      <c r="E157" s="659"/>
      <c r="F157" s="660"/>
    </row>
    <row r="158" spans="1:6" x14ac:dyDescent="0.2">
      <c r="A158" s="655" t="s">
        <v>15</v>
      </c>
      <c r="B158" s="655" t="s">
        <v>16</v>
      </c>
      <c r="C158" s="655" t="s">
        <v>33</v>
      </c>
      <c r="D158" s="638" t="s">
        <v>34</v>
      </c>
      <c r="E158" s="653"/>
      <c r="F158" s="654"/>
    </row>
    <row r="159" spans="1:6" x14ac:dyDescent="0.2">
      <c r="A159" s="656"/>
      <c r="B159" s="656"/>
      <c r="C159" s="656"/>
      <c r="D159" s="113" t="s">
        <v>35</v>
      </c>
      <c r="E159" s="113" t="s">
        <v>36</v>
      </c>
      <c r="F159" s="113" t="s">
        <v>37</v>
      </c>
    </row>
    <row r="160" spans="1:6" x14ac:dyDescent="0.2">
      <c r="A160" s="132">
        <v>1</v>
      </c>
      <c r="B160" s="114" t="s">
        <v>38</v>
      </c>
      <c r="C160" s="638"/>
      <c r="D160" s="653"/>
      <c r="E160" s="654"/>
      <c r="F160" s="115"/>
    </row>
    <row r="161" spans="1:6" ht="25.5" x14ac:dyDescent="0.2">
      <c r="A161" s="116">
        <v>2</v>
      </c>
      <c r="B161" s="134" t="s">
        <v>146</v>
      </c>
      <c r="C161" s="117" t="s">
        <v>22</v>
      </c>
      <c r="D161" s="118">
        <v>324</v>
      </c>
      <c r="E161" s="371">
        <v>5268</v>
      </c>
      <c r="F161" s="371">
        <f t="shared" ref="F161:F174" si="21">ROUND(D161*E161,0)</f>
        <v>1706832</v>
      </c>
    </row>
    <row r="162" spans="1:6" x14ac:dyDescent="0.2">
      <c r="A162" s="132">
        <v>3</v>
      </c>
      <c r="B162" s="123" t="s">
        <v>315</v>
      </c>
      <c r="C162" s="117" t="s">
        <v>14</v>
      </c>
      <c r="D162" s="118">
        <v>2</v>
      </c>
      <c r="E162" s="372">
        <v>169702</v>
      </c>
      <c r="F162" s="371">
        <f t="shared" si="21"/>
        <v>339404</v>
      </c>
    </row>
    <row r="163" spans="1:6" ht="38.25" x14ac:dyDescent="0.2">
      <c r="A163" s="132" t="s">
        <v>0</v>
      </c>
      <c r="B163" s="134" t="s">
        <v>301</v>
      </c>
      <c r="C163" s="117" t="s">
        <v>22</v>
      </c>
      <c r="D163" s="118">
        <f>324*2</f>
        <v>648</v>
      </c>
      <c r="E163" s="372">
        <v>8648</v>
      </c>
      <c r="F163" s="371">
        <f t="shared" si="21"/>
        <v>5603904</v>
      </c>
    </row>
    <row r="164" spans="1:6" x14ac:dyDescent="0.2">
      <c r="A164" s="116">
        <v>5</v>
      </c>
      <c r="B164" s="134" t="s">
        <v>20</v>
      </c>
      <c r="C164" s="117" t="s">
        <v>14</v>
      </c>
      <c r="D164" s="118">
        <v>1</v>
      </c>
      <c r="E164" s="372">
        <v>529650</v>
      </c>
      <c r="F164" s="371">
        <f t="shared" si="21"/>
        <v>529650</v>
      </c>
    </row>
    <row r="165" spans="1:6" x14ac:dyDescent="0.2">
      <c r="A165" s="132">
        <v>6</v>
      </c>
      <c r="B165" s="114" t="s">
        <v>48</v>
      </c>
      <c r="C165" s="638"/>
      <c r="D165" s="653"/>
      <c r="E165" s="654"/>
      <c r="F165" s="371" t="s">
        <v>0</v>
      </c>
    </row>
    <row r="166" spans="1:6" x14ac:dyDescent="0.2">
      <c r="A166" s="116">
        <v>7</v>
      </c>
      <c r="B166" s="147" t="s">
        <v>111</v>
      </c>
      <c r="C166" s="117" t="s">
        <v>22</v>
      </c>
      <c r="D166" s="118">
        <v>1028</v>
      </c>
      <c r="E166" s="372">
        <v>9274</v>
      </c>
      <c r="F166" s="371">
        <f t="shared" si="21"/>
        <v>9533672</v>
      </c>
    </row>
    <row r="167" spans="1:6" ht="38.25" x14ac:dyDescent="0.2">
      <c r="A167" s="132">
        <v>8</v>
      </c>
      <c r="B167" s="134" t="s">
        <v>192</v>
      </c>
      <c r="C167" s="117" t="s">
        <v>302</v>
      </c>
      <c r="D167" s="118">
        <v>52</v>
      </c>
      <c r="E167" s="372">
        <v>79802</v>
      </c>
      <c r="F167" s="371">
        <f t="shared" si="21"/>
        <v>4149704</v>
      </c>
    </row>
    <row r="168" spans="1:6" x14ac:dyDescent="0.2">
      <c r="A168" s="116">
        <v>9</v>
      </c>
      <c r="B168" s="114" t="s">
        <v>51</v>
      </c>
      <c r="C168" s="638"/>
      <c r="D168" s="653"/>
      <c r="E168" s="654"/>
      <c r="F168" s="371" t="s">
        <v>0</v>
      </c>
    </row>
    <row r="169" spans="1:6" x14ac:dyDescent="0.2">
      <c r="A169" s="132">
        <v>10</v>
      </c>
      <c r="B169" s="134" t="s">
        <v>147</v>
      </c>
      <c r="C169" s="117" t="s">
        <v>302</v>
      </c>
      <c r="D169" s="118">
        <v>250</v>
      </c>
      <c r="E169" s="372">
        <v>21029</v>
      </c>
      <c r="F169" s="371">
        <f t="shared" si="21"/>
        <v>5257250</v>
      </c>
    </row>
    <row r="170" spans="1:6" ht="25.5" x14ac:dyDescent="0.2">
      <c r="A170" s="116">
        <f>A169+1</f>
        <v>11</v>
      </c>
      <c r="B170" s="134" t="s">
        <v>303</v>
      </c>
      <c r="C170" s="117" t="s">
        <v>302</v>
      </c>
      <c r="D170" s="118">
        <v>70</v>
      </c>
      <c r="E170" s="372">
        <v>25104</v>
      </c>
      <c r="F170" s="371">
        <f t="shared" si="21"/>
        <v>1757280</v>
      </c>
    </row>
    <row r="171" spans="1:6" x14ac:dyDescent="0.2">
      <c r="A171" s="116">
        <f t="shared" ref="A171:A183" si="22">A170+1</f>
        <v>12</v>
      </c>
      <c r="B171" s="114" t="s">
        <v>148</v>
      </c>
      <c r="C171" s="638"/>
      <c r="D171" s="653"/>
      <c r="E171" s="654"/>
      <c r="F171" s="371" t="s">
        <v>0</v>
      </c>
    </row>
    <row r="172" spans="1:6" x14ac:dyDescent="0.2">
      <c r="A172" s="116">
        <f t="shared" si="22"/>
        <v>13</v>
      </c>
      <c r="B172" s="123" t="s">
        <v>316</v>
      </c>
      <c r="C172" s="117" t="s">
        <v>22</v>
      </c>
      <c r="D172" s="118">
        <v>324</v>
      </c>
      <c r="E172" s="371">
        <v>5000</v>
      </c>
      <c r="F172" s="371">
        <f t="shared" si="21"/>
        <v>1620000</v>
      </c>
    </row>
    <row r="173" spans="1:6" ht="25.5" x14ac:dyDescent="0.2">
      <c r="A173" s="116">
        <f t="shared" si="22"/>
        <v>14</v>
      </c>
      <c r="B173" s="134" t="s">
        <v>305</v>
      </c>
      <c r="C173" s="117" t="s">
        <v>116</v>
      </c>
      <c r="D173" s="118">
        <v>38</v>
      </c>
      <c r="E173" s="371">
        <v>32100</v>
      </c>
      <c r="F173" s="371">
        <f t="shared" si="21"/>
        <v>1219800</v>
      </c>
    </row>
    <row r="174" spans="1:6" x14ac:dyDescent="0.2">
      <c r="A174" s="116">
        <f t="shared" si="22"/>
        <v>15</v>
      </c>
      <c r="B174" s="123" t="s">
        <v>309</v>
      </c>
      <c r="C174" s="117" t="s">
        <v>14</v>
      </c>
      <c r="D174" s="373">
        <v>10</v>
      </c>
      <c r="E174" s="151">
        <v>69169</v>
      </c>
      <c r="F174" s="371">
        <f t="shared" si="21"/>
        <v>691690</v>
      </c>
    </row>
    <row r="175" spans="1:6" x14ac:dyDescent="0.2">
      <c r="A175" s="116">
        <f t="shared" si="22"/>
        <v>16</v>
      </c>
      <c r="B175" s="114" t="s">
        <v>120</v>
      </c>
      <c r="C175" s="117"/>
      <c r="D175" s="118"/>
      <c r="E175" s="371"/>
      <c r="F175" s="371"/>
    </row>
    <row r="176" spans="1:6" x14ac:dyDescent="0.2">
      <c r="A176" s="116">
        <f t="shared" si="22"/>
        <v>17</v>
      </c>
      <c r="B176" s="123" t="s">
        <v>25</v>
      </c>
      <c r="C176" s="117" t="s">
        <v>302</v>
      </c>
      <c r="D176" s="118">
        <v>30</v>
      </c>
      <c r="E176" s="371">
        <v>7235</v>
      </c>
      <c r="F176" s="371">
        <f t="shared" ref="F176:F178" si="23">ROUND(D176*E176,0)</f>
        <v>217050</v>
      </c>
    </row>
    <row r="177" spans="1:6" ht="25.5" x14ac:dyDescent="0.2">
      <c r="A177" s="116">
        <f t="shared" si="22"/>
        <v>18</v>
      </c>
      <c r="B177" s="134" t="s">
        <v>317</v>
      </c>
      <c r="C177" s="117" t="s">
        <v>302</v>
      </c>
      <c r="D177" s="118">
        <v>240</v>
      </c>
      <c r="E177" s="371">
        <v>17261</v>
      </c>
      <c r="F177" s="371">
        <f t="shared" si="23"/>
        <v>4142640</v>
      </c>
    </row>
    <row r="178" spans="1:6" x14ac:dyDescent="0.2">
      <c r="A178" s="116">
        <f t="shared" si="22"/>
        <v>19</v>
      </c>
      <c r="B178" s="123" t="s">
        <v>143</v>
      </c>
      <c r="C178" s="117" t="s">
        <v>302</v>
      </c>
      <c r="D178" s="118">
        <v>70</v>
      </c>
      <c r="E178" s="151">
        <v>132347</v>
      </c>
      <c r="F178" s="371">
        <f t="shared" si="23"/>
        <v>9264290</v>
      </c>
    </row>
    <row r="179" spans="1:6" x14ac:dyDescent="0.2">
      <c r="A179" s="116">
        <f t="shared" si="22"/>
        <v>20</v>
      </c>
      <c r="B179" s="114" t="s">
        <v>123</v>
      </c>
      <c r="C179" s="117"/>
      <c r="D179" s="118"/>
      <c r="E179" s="371"/>
      <c r="F179" s="371"/>
    </row>
    <row r="180" spans="1:6" ht="25.5" x14ac:dyDescent="0.2">
      <c r="A180" s="116">
        <f t="shared" si="22"/>
        <v>21</v>
      </c>
      <c r="B180" s="134" t="s">
        <v>311</v>
      </c>
      <c r="C180" s="117" t="s">
        <v>302</v>
      </c>
      <c r="D180" s="118">
        <v>1</v>
      </c>
      <c r="E180" s="371">
        <v>525572</v>
      </c>
      <c r="F180" s="371">
        <f t="shared" ref="F180:F181" si="24">ROUND(D180*E180,0)</f>
        <v>525572</v>
      </c>
    </row>
    <row r="181" spans="1:6" ht="25.5" x14ac:dyDescent="0.2">
      <c r="A181" s="116">
        <f t="shared" si="22"/>
        <v>22</v>
      </c>
      <c r="B181" s="134" t="s">
        <v>195</v>
      </c>
      <c r="C181" s="117" t="s">
        <v>302</v>
      </c>
      <c r="D181" s="232">
        <v>52</v>
      </c>
      <c r="E181" s="151">
        <v>768991</v>
      </c>
      <c r="F181" s="371">
        <f t="shared" si="24"/>
        <v>39987532</v>
      </c>
    </row>
    <row r="182" spans="1:6" x14ac:dyDescent="0.2">
      <c r="A182" s="116">
        <f t="shared" si="22"/>
        <v>23</v>
      </c>
      <c r="B182" s="114" t="s">
        <v>74</v>
      </c>
      <c r="C182" s="117"/>
      <c r="D182" s="118"/>
      <c r="E182" s="371"/>
      <c r="F182" s="371"/>
    </row>
    <row r="183" spans="1:6" x14ac:dyDescent="0.2">
      <c r="A183" s="116">
        <f t="shared" si="22"/>
        <v>24</v>
      </c>
      <c r="B183" s="123" t="s">
        <v>171</v>
      </c>
      <c r="C183" s="117" t="s">
        <v>136</v>
      </c>
      <c r="D183" s="118">
        <v>200</v>
      </c>
      <c r="E183" s="371">
        <v>4239</v>
      </c>
      <c r="F183" s="371">
        <f t="shared" ref="F183" si="25">ROUND(D183*E183,0)</f>
        <v>847800</v>
      </c>
    </row>
    <row r="184" spans="1:6" x14ac:dyDescent="0.2">
      <c r="A184" s="132"/>
      <c r="B184" s="123"/>
      <c r="C184" s="117"/>
      <c r="D184" s="118"/>
      <c r="E184" s="371"/>
      <c r="F184" s="371"/>
    </row>
    <row r="185" spans="1:6" x14ac:dyDescent="0.2">
      <c r="A185" s="126"/>
      <c r="B185" s="114" t="s">
        <v>30</v>
      </c>
      <c r="C185" s="126"/>
      <c r="D185" s="126"/>
      <c r="E185" s="126"/>
      <c r="F185" s="125">
        <f>ROUND(SUM(F161:F184),0)</f>
        <v>87394070</v>
      </c>
    </row>
    <row r="186" spans="1:6" x14ac:dyDescent="0.2">
      <c r="A186" s="126"/>
      <c r="B186" s="126"/>
      <c r="C186" s="126"/>
      <c r="D186" s="126"/>
      <c r="E186" s="126"/>
      <c r="F186" s="126"/>
    </row>
    <row r="187" spans="1:6" x14ac:dyDescent="0.2">
      <c r="A187" s="77" t="s">
        <v>78</v>
      </c>
      <c r="B187" s="109"/>
      <c r="C187" s="109"/>
      <c r="D187" s="109"/>
      <c r="E187" s="109"/>
      <c r="F187" s="111">
        <f>ROUND(F185/1.3495,0)</f>
        <v>64760333</v>
      </c>
    </row>
    <row r="188" spans="1:6" x14ac:dyDescent="0.2">
      <c r="A188" s="77" t="s">
        <v>79</v>
      </c>
      <c r="B188" s="109"/>
      <c r="C188" s="109"/>
      <c r="D188" s="112">
        <v>0.24</v>
      </c>
      <c r="E188" s="109"/>
      <c r="F188" s="111">
        <f>ROUND(F187*D188,0)</f>
        <v>15542480</v>
      </c>
    </row>
    <row r="189" spans="1:6" x14ac:dyDescent="0.2">
      <c r="A189" s="77" t="s">
        <v>32</v>
      </c>
      <c r="B189" s="109"/>
      <c r="C189" s="109"/>
      <c r="D189" s="112">
        <v>0.05</v>
      </c>
      <c r="E189" s="109"/>
      <c r="F189" s="111">
        <f>ROUND(F187*D189,0)</f>
        <v>3238017</v>
      </c>
    </row>
    <row r="190" spans="1:6" x14ac:dyDescent="0.2">
      <c r="A190" s="77" t="s">
        <v>80</v>
      </c>
      <c r="B190" s="85"/>
      <c r="C190" s="85"/>
      <c r="D190" s="112">
        <v>0.05</v>
      </c>
      <c r="E190" s="85"/>
      <c r="F190" s="111">
        <f>ROUND(F187*D190,0)</f>
        <v>3238017</v>
      </c>
    </row>
    <row r="191" spans="1:6" x14ac:dyDescent="0.2">
      <c r="A191" s="77" t="s">
        <v>81</v>
      </c>
      <c r="B191" s="85"/>
      <c r="C191" s="85"/>
      <c r="D191" s="112"/>
      <c r="E191" s="85"/>
      <c r="F191" s="111">
        <f>ROUND(SUM(F187:F190),0)</f>
        <v>86778847</v>
      </c>
    </row>
    <row r="192" spans="1:6" x14ac:dyDescent="0.2">
      <c r="A192" s="77" t="s">
        <v>82</v>
      </c>
      <c r="B192" s="85"/>
      <c r="C192" s="85"/>
      <c r="D192" s="112">
        <v>0.19</v>
      </c>
      <c r="E192" s="85"/>
      <c r="F192" s="111">
        <f>ROUND(F190*D192,0)</f>
        <v>615223</v>
      </c>
    </row>
    <row r="193" spans="1:6" x14ac:dyDescent="0.2">
      <c r="A193" s="88" t="s">
        <v>83</v>
      </c>
      <c r="B193" s="88"/>
      <c r="C193" s="88"/>
      <c r="D193" s="88"/>
      <c r="E193" s="88"/>
      <c r="F193" s="111">
        <f>ROUND(SUM(F191+F192),0)</f>
        <v>87394070</v>
      </c>
    </row>
    <row r="195" spans="1:6" ht="13.5" thickBot="1" x14ac:dyDescent="0.25"/>
    <row r="196" spans="1:6" ht="29.25" customHeight="1" thickBot="1" x14ac:dyDescent="0.25">
      <c r="A196" s="650" t="s">
        <v>291</v>
      </c>
      <c r="B196" s="651"/>
      <c r="C196" s="651"/>
      <c r="D196" s="651"/>
      <c r="E196" s="651"/>
      <c r="F196" s="652"/>
    </row>
    <row r="197" spans="1:6" x14ac:dyDescent="0.2">
      <c r="A197" s="113" t="s">
        <v>204</v>
      </c>
      <c r="B197" s="113" t="s">
        <v>10</v>
      </c>
      <c r="C197" s="113" t="s">
        <v>174</v>
      </c>
      <c r="D197" s="113" t="s">
        <v>35</v>
      </c>
      <c r="E197" s="113" t="s">
        <v>175</v>
      </c>
      <c r="F197" s="113" t="s">
        <v>176</v>
      </c>
    </row>
    <row r="198" spans="1:6" x14ac:dyDescent="0.2">
      <c r="A198" s="117" t="s">
        <v>177</v>
      </c>
      <c r="B198" s="359" t="s">
        <v>38</v>
      </c>
      <c r="C198" s="117"/>
      <c r="D198" s="360"/>
      <c r="E198" s="361"/>
      <c r="F198" s="361"/>
    </row>
    <row r="199" spans="1:6" ht="38.25" x14ac:dyDescent="0.2">
      <c r="A199" s="117" t="s">
        <v>11</v>
      </c>
      <c r="B199" s="362" t="s">
        <v>279</v>
      </c>
      <c r="C199" s="117" t="s">
        <v>179</v>
      </c>
      <c r="D199" s="360">
        <v>480</v>
      </c>
      <c r="E199" s="361">
        <v>7004</v>
      </c>
      <c r="F199" s="361">
        <f t="shared" ref="F199:F202" si="26">ROUND(D199*E199,0)</f>
        <v>3361920</v>
      </c>
    </row>
    <row r="200" spans="1:6" ht="38.25" x14ac:dyDescent="0.2">
      <c r="A200" s="117" t="s">
        <v>178</v>
      </c>
      <c r="B200" s="362" t="s">
        <v>282</v>
      </c>
      <c r="C200" s="117" t="s">
        <v>179</v>
      </c>
      <c r="D200" s="360">
        <v>972</v>
      </c>
      <c r="E200" s="361">
        <v>11498</v>
      </c>
      <c r="F200" s="361">
        <f t="shared" si="26"/>
        <v>11176056</v>
      </c>
    </row>
    <row r="201" spans="1:6" x14ac:dyDescent="0.2">
      <c r="A201" s="117" t="s">
        <v>13</v>
      </c>
      <c r="B201" s="126" t="s">
        <v>181</v>
      </c>
      <c r="C201" s="117" t="s">
        <v>45</v>
      </c>
      <c r="D201" s="360">
        <v>1</v>
      </c>
      <c r="E201" s="361">
        <v>704170</v>
      </c>
      <c r="F201" s="361">
        <f t="shared" si="26"/>
        <v>704170</v>
      </c>
    </row>
    <row r="202" spans="1:6" ht="25.5" x14ac:dyDescent="0.2">
      <c r="A202" s="117" t="s">
        <v>180</v>
      </c>
      <c r="B202" s="134" t="s">
        <v>283</v>
      </c>
      <c r="C202" s="117" t="s">
        <v>60</v>
      </c>
      <c r="D202" s="360">
        <v>2</v>
      </c>
      <c r="E202" s="361">
        <v>225619</v>
      </c>
      <c r="F202" s="361">
        <f t="shared" si="26"/>
        <v>451238</v>
      </c>
    </row>
    <row r="203" spans="1:6" x14ac:dyDescent="0.2">
      <c r="A203" s="117">
        <v>2</v>
      </c>
      <c r="B203" s="359" t="s">
        <v>182</v>
      </c>
      <c r="C203" s="117"/>
      <c r="D203" s="360"/>
      <c r="E203" s="361" t="s">
        <v>0</v>
      </c>
      <c r="F203" s="361"/>
    </row>
    <row r="204" spans="1:6" x14ac:dyDescent="0.2">
      <c r="A204" s="117" t="s">
        <v>183</v>
      </c>
      <c r="B204" s="126" t="s">
        <v>211</v>
      </c>
      <c r="C204" s="117" t="s">
        <v>12</v>
      </c>
      <c r="D204" s="360">
        <v>72.06</v>
      </c>
      <c r="E204" s="361">
        <v>130984</v>
      </c>
      <c r="F204" s="361">
        <f t="shared" ref="F204:F206" si="27">ROUND(D204*E204,0)</f>
        <v>9438707</v>
      </c>
    </row>
    <row r="205" spans="1:6" ht="25.5" x14ac:dyDescent="0.2">
      <c r="A205" s="117" t="s">
        <v>249</v>
      </c>
      <c r="B205" s="362" t="s">
        <v>292</v>
      </c>
      <c r="C205" s="117" t="s">
        <v>12</v>
      </c>
      <c r="D205" s="360">
        <v>0.6</v>
      </c>
      <c r="E205" s="361">
        <v>106097</v>
      </c>
      <c r="F205" s="361">
        <f t="shared" si="27"/>
        <v>63658</v>
      </c>
    </row>
    <row r="206" spans="1:6" ht="25.5" x14ac:dyDescent="0.2">
      <c r="A206" s="117">
        <v>2.4</v>
      </c>
      <c r="B206" s="362" t="s">
        <v>213</v>
      </c>
      <c r="C206" s="117" t="s">
        <v>12</v>
      </c>
      <c r="D206" s="360">
        <v>7.84</v>
      </c>
      <c r="E206" s="361">
        <v>97951</v>
      </c>
      <c r="F206" s="361">
        <f t="shared" si="27"/>
        <v>767936</v>
      </c>
    </row>
    <row r="207" spans="1:6" x14ac:dyDescent="0.2">
      <c r="A207" s="117">
        <v>3</v>
      </c>
      <c r="B207" s="364" t="s">
        <v>209</v>
      </c>
      <c r="C207" s="117"/>
      <c r="D207" s="360"/>
      <c r="E207" s="361" t="s">
        <v>0</v>
      </c>
      <c r="F207" s="361"/>
    </row>
    <row r="208" spans="1:6" ht="25.5" x14ac:dyDescent="0.2">
      <c r="A208" s="117" t="s">
        <v>214</v>
      </c>
      <c r="B208" s="362" t="s">
        <v>185</v>
      </c>
      <c r="C208" s="117" t="s">
        <v>12</v>
      </c>
      <c r="D208" s="360">
        <v>152.69999999999999</v>
      </c>
      <c r="E208" s="361">
        <v>33376</v>
      </c>
      <c r="F208" s="361">
        <f t="shared" ref="F208" si="28">ROUND(D208*E208,0)</f>
        <v>5096515</v>
      </c>
    </row>
    <row r="209" spans="1:6" x14ac:dyDescent="0.2">
      <c r="A209" s="117">
        <v>4</v>
      </c>
      <c r="B209" s="364" t="s">
        <v>184</v>
      </c>
      <c r="C209" s="117"/>
      <c r="D209" s="360"/>
      <c r="E209" s="361" t="s">
        <v>0</v>
      </c>
      <c r="F209" s="361"/>
    </row>
    <row r="210" spans="1:6" ht="25.5" x14ac:dyDescent="0.2">
      <c r="A210" s="117" t="s">
        <v>186</v>
      </c>
      <c r="B210" s="362" t="s">
        <v>215</v>
      </c>
      <c r="C210" s="117" t="s">
        <v>12</v>
      </c>
      <c r="D210" s="360">
        <v>172.92</v>
      </c>
      <c r="E210" s="361">
        <v>27958</v>
      </c>
      <c r="F210" s="361">
        <f t="shared" ref="F210:F211" si="29">ROUND(D210*E210,0)</f>
        <v>4834497</v>
      </c>
    </row>
    <row r="211" spans="1:6" ht="25.5" x14ac:dyDescent="0.2">
      <c r="A211" s="117">
        <v>4.2</v>
      </c>
      <c r="B211" s="363" t="s">
        <v>252</v>
      </c>
      <c r="C211" s="117" t="s">
        <v>12</v>
      </c>
      <c r="D211" s="360">
        <v>48</v>
      </c>
      <c r="E211" s="361">
        <v>33239</v>
      </c>
      <c r="F211" s="361">
        <f t="shared" si="29"/>
        <v>1595472</v>
      </c>
    </row>
    <row r="212" spans="1:6" x14ac:dyDescent="0.2">
      <c r="A212" s="117">
        <v>5</v>
      </c>
      <c r="B212" s="364" t="s">
        <v>217</v>
      </c>
      <c r="C212" s="117"/>
      <c r="D212" s="360"/>
      <c r="E212" s="361" t="s">
        <v>0</v>
      </c>
      <c r="F212" s="361"/>
    </row>
    <row r="213" spans="1:6" ht="25.5" x14ac:dyDescent="0.2">
      <c r="A213" s="117" t="s">
        <v>188</v>
      </c>
      <c r="B213" s="362" t="s">
        <v>218</v>
      </c>
      <c r="C213" s="117" t="s">
        <v>12</v>
      </c>
      <c r="D213" s="360">
        <v>160.32</v>
      </c>
      <c r="E213" s="361">
        <v>22948</v>
      </c>
      <c r="F213" s="361">
        <f t="shared" ref="F213:F214" si="30">ROUND(D213*E213,0)</f>
        <v>3679023</v>
      </c>
    </row>
    <row r="214" spans="1:6" ht="25.5" x14ac:dyDescent="0.2">
      <c r="A214" s="117" t="s">
        <v>189</v>
      </c>
      <c r="B214" s="362" t="s">
        <v>219</v>
      </c>
      <c r="C214" s="117" t="s">
        <v>12</v>
      </c>
      <c r="D214" s="360">
        <v>40.03</v>
      </c>
      <c r="E214" s="361">
        <v>98560</v>
      </c>
      <c r="F214" s="361">
        <f t="shared" si="30"/>
        <v>3945357</v>
      </c>
    </row>
    <row r="215" spans="1:6" ht="25.5" x14ac:dyDescent="0.2">
      <c r="A215" s="117">
        <v>6</v>
      </c>
      <c r="B215" s="364" t="s">
        <v>220</v>
      </c>
      <c r="C215" s="117"/>
      <c r="D215" s="360"/>
      <c r="E215" s="361" t="s">
        <v>0</v>
      </c>
      <c r="F215" s="361"/>
    </row>
    <row r="216" spans="1:6" ht="25.5" x14ac:dyDescent="0.2">
      <c r="A216" s="117" t="s">
        <v>221</v>
      </c>
      <c r="B216" s="362" t="s">
        <v>276</v>
      </c>
      <c r="C216" s="117" t="s">
        <v>12</v>
      </c>
      <c r="D216" s="360">
        <v>0.5</v>
      </c>
      <c r="E216" s="361">
        <v>92060</v>
      </c>
      <c r="F216" s="361">
        <f t="shared" ref="F216:F218" si="31">ROUND(D216*E216,0)</f>
        <v>46030</v>
      </c>
    </row>
    <row r="217" spans="1:6" ht="51" x14ac:dyDescent="0.2">
      <c r="A217" s="117">
        <v>6.2</v>
      </c>
      <c r="B217" s="362" t="s">
        <v>293</v>
      </c>
      <c r="C217" s="117" t="s">
        <v>12</v>
      </c>
      <c r="D217" s="360">
        <v>59.76</v>
      </c>
      <c r="E217" s="361">
        <v>175955</v>
      </c>
      <c r="F217" s="361">
        <f t="shared" si="31"/>
        <v>10515071</v>
      </c>
    </row>
    <row r="218" spans="1:6" ht="25.5" x14ac:dyDescent="0.2">
      <c r="A218" s="117" t="s">
        <v>254</v>
      </c>
      <c r="B218" s="363" t="s">
        <v>245</v>
      </c>
      <c r="C218" s="117" t="s">
        <v>12</v>
      </c>
      <c r="D218" s="360">
        <v>36</v>
      </c>
      <c r="E218" s="361">
        <v>93377</v>
      </c>
      <c r="F218" s="361">
        <f t="shared" si="31"/>
        <v>3361572</v>
      </c>
    </row>
    <row r="219" spans="1:6" x14ac:dyDescent="0.2">
      <c r="A219" s="117">
        <v>7</v>
      </c>
      <c r="B219" s="364" t="s">
        <v>294</v>
      </c>
      <c r="C219" s="117"/>
      <c r="D219" s="360"/>
      <c r="E219" s="361" t="s">
        <v>0</v>
      </c>
      <c r="F219" s="361"/>
    </row>
    <row r="220" spans="1:6" ht="38.25" x14ac:dyDescent="0.2">
      <c r="A220" s="117" t="s">
        <v>223</v>
      </c>
      <c r="B220" s="363" t="s">
        <v>297</v>
      </c>
      <c r="C220" s="117" t="s">
        <v>22</v>
      </c>
      <c r="D220" s="360">
        <v>480</v>
      </c>
      <c r="E220" s="361">
        <v>5318</v>
      </c>
      <c r="F220" s="361">
        <f t="shared" ref="F220:F222" si="32">ROUND(D220*E220,0)</f>
        <v>2552640</v>
      </c>
    </row>
    <row r="221" spans="1:6" ht="76.5" x14ac:dyDescent="0.2">
      <c r="A221" s="117" t="s">
        <v>286</v>
      </c>
      <c r="B221" s="134" t="s">
        <v>298</v>
      </c>
      <c r="C221" s="117" t="s">
        <v>45</v>
      </c>
      <c r="D221" s="360">
        <v>106</v>
      </c>
      <c r="E221" s="361">
        <v>65937</v>
      </c>
      <c r="F221" s="361">
        <f t="shared" si="32"/>
        <v>6989322</v>
      </c>
    </row>
    <row r="222" spans="1:6" x14ac:dyDescent="0.2">
      <c r="A222" s="117" t="s">
        <v>278</v>
      </c>
      <c r="B222" s="362" t="s">
        <v>299</v>
      </c>
      <c r="C222" s="117" t="s">
        <v>14</v>
      </c>
      <c r="D222" s="360">
        <v>1</v>
      </c>
      <c r="E222" s="361">
        <v>207125</v>
      </c>
      <c r="F222" s="361">
        <f t="shared" si="32"/>
        <v>207125</v>
      </c>
    </row>
    <row r="223" spans="1:6" ht="63.75" x14ac:dyDescent="0.2">
      <c r="A223" s="117" t="s">
        <v>224</v>
      </c>
      <c r="B223" s="365" t="s">
        <v>533</v>
      </c>
      <c r="C223" s="117" t="s">
        <v>60</v>
      </c>
      <c r="D223" s="360">
        <v>1</v>
      </c>
      <c r="E223" s="361">
        <v>649116</v>
      </c>
      <c r="F223" s="361">
        <f t="shared" ref="F223:F224" si="33">ROUND(D223*E223,0)</f>
        <v>649116</v>
      </c>
    </row>
    <row r="224" spans="1:6" x14ac:dyDescent="0.2">
      <c r="A224" s="117" t="s">
        <v>225</v>
      </c>
      <c r="B224" s="362" t="s">
        <v>295</v>
      </c>
      <c r="C224" s="117" t="s">
        <v>60</v>
      </c>
      <c r="D224" s="360">
        <v>2</v>
      </c>
      <c r="E224" s="361">
        <v>105755</v>
      </c>
      <c r="F224" s="361">
        <f t="shared" si="33"/>
        <v>211510</v>
      </c>
    </row>
    <row r="225" spans="1:6" x14ac:dyDescent="0.2">
      <c r="A225" s="117">
        <v>8</v>
      </c>
      <c r="B225" s="364" t="s">
        <v>236</v>
      </c>
      <c r="C225" s="117"/>
      <c r="D225" s="360"/>
      <c r="E225" s="361" t="s">
        <v>0</v>
      </c>
      <c r="F225" s="361"/>
    </row>
    <row r="226" spans="1:6" x14ac:dyDescent="0.2">
      <c r="A226" s="117" t="s">
        <v>237</v>
      </c>
      <c r="B226" s="362" t="s">
        <v>238</v>
      </c>
      <c r="C226" s="117" t="s">
        <v>22</v>
      </c>
      <c r="D226" s="360">
        <v>1352</v>
      </c>
      <c r="E226" s="361">
        <v>13193</v>
      </c>
      <c r="F226" s="361">
        <f t="shared" ref="F226:F228" si="34">ROUND(D226*E226,0)</f>
        <v>17836936</v>
      </c>
    </row>
    <row r="227" spans="1:6" ht="51" x14ac:dyDescent="0.2">
      <c r="A227" s="117" t="s">
        <v>240</v>
      </c>
      <c r="B227" s="121" t="s">
        <v>296</v>
      </c>
      <c r="C227" s="117" t="s">
        <v>12</v>
      </c>
      <c r="D227" s="360">
        <v>64.849999999999994</v>
      </c>
      <c r="E227" s="361">
        <v>806437</v>
      </c>
      <c r="F227" s="361">
        <f t="shared" si="34"/>
        <v>52297439</v>
      </c>
    </row>
    <row r="228" spans="1:6" ht="25.5" x14ac:dyDescent="0.2">
      <c r="A228" s="117" t="s">
        <v>248</v>
      </c>
      <c r="B228" s="365" t="s">
        <v>257</v>
      </c>
      <c r="C228" s="117" t="s">
        <v>12</v>
      </c>
      <c r="D228" s="360">
        <v>0.3</v>
      </c>
      <c r="E228" s="361">
        <v>698748</v>
      </c>
      <c r="F228" s="361">
        <f t="shared" si="34"/>
        <v>209624</v>
      </c>
    </row>
    <row r="229" spans="1:6" x14ac:dyDescent="0.2">
      <c r="A229" s="117">
        <v>9</v>
      </c>
      <c r="B229" s="366" t="s">
        <v>242</v>
      </c>
      <c r="C229" s="117"/>
      <c r="D229" s="360"/>
      <c r="E229" s="361" t="s">
        <v>0</v>
      </c>
      <c r="F229" s="361"/>
    </row>
    <row r="230" spans="1:6" ht="38.25" x14ac:dyDescent="0.2">
      <c r="A230" s="117" t="s">
        <v>243</v>
      </c>
      <c r="B230" s="362" t="s">
        <v>244</v>
      </c>
      <c r="C230" s="117" t="s">
        <v>206</v>
      </c>
      <c r="D230" s="360">
        <v>1.25</v>
      </c>
      <c r="E230" s="361">
        <v>1503259</v>
      </c>
      <c r="F230" s="361">
        <f>ROUND(D230*E230,0)</f>
        <v>1879074</v>
      </c>
    </row>
    <row r="231" spans="1:6" x14ac:dyDescent="0.2">
      <c r="A231" s="126"/>
      <c r="B231" s="126"/>
      <c r="C231" s="117"/>
      <c r="D231" s="117"/>
      <c r="E231" s="361"/>
      <c r="F231" s="361"/>
    </row>
    <row r="232" spans="1:6" x14ac:dyDescent="0.2">
      <c r="A232" s="126"/>
      <c r="B232" s="359" t="s">
        <v>660</v>
      </c>
      <c r="C232" s="117"/>
      <c r="D232" s="117"/>
      <c r="E232" s="361"/>
      <c r="F232" s="125">
        <f>ROUND(SUM(F199:F231),0)</f>
        <v>141870008</v>
      </c>
    </row>
    <row r="233" spans="1:6" x14ac:dyDescent="0.2">
      <c r="A233" s="126"/>
      <c r="B233" s="359"/>
      <c r="C233" s="117"/>
      <c r="D233" s="117"/>
      <c r="E233" s="361"/>
      <c r="F233" s="349"/>
    </row>
    <row r="234" spans="1:6" x14ac:dyDescent="0.2">
      <c r="A234" s="77" t="s">
        <v>78</v>
      </c>
      <c r="B234" s="109"/>
      <c r="C234" s="109"/>
      <c r="D234" s="109"/>
      <c r="E234" s="109"/>
      <c r="F234" s="111">
        <f>ROUND(F232/1.3495,0)</f>
        <v>105127831</v>
      </c>
    </row>
    <row r="235" spans="1:6" x14ac:dyDescent="0.2">
      <c r="A235" s="77" t="s">
        <v>79</v>
      </c>
      <c r="B235" s="109"/>
      <c r="C235" s="109"/>
      <c r="D235" s="112">
        <v>0.24</v>
      </c>
      <c r="E235" s="109"/>
      <c r="F235" s="111">
        <f>ROUND(F234*D235,0)</f>
        <v>25230679</v>
      </c>
    </row>
    <row r="236" spans="1:6" x14ac:dyDescent="0.2">
      <c r="A236" s="77" t="s">
        <v>32</v>
      </c>
      <c r="B236" s="109"/>
      <c r="C236" s="109"/>
      <c r="D236" s="112">
        <v>0.05</v>
      </c>
      <c r="E236" s="109"/>
      <c r="F236" s="111">
        <f>ROUND(F234*D236,0)</f>
        <v>5256392</v>
      </c>
    </row>
    <row r="237" spans="1:6" x14ac:dyDescent="0.2">
      <c r="A237" s="77" t="s">
        <v>80</v>
      </c>
      <c r="B237" s="85"/>
      <c r="C237" s="85"/>
      <c r="D237" s="112">
        <v>0.05</v>
      </c>
      <c r="E237" s="85"/>
      <c r="F237" s="111">
        <f>ROUND(F234*D237,0)</f>
        <v>5256392</v>
      </c>
    </row>
    <row r="238" spans="1:6" x14ac:dyDescent="0.2">
      <c r="A238" s="77" t="s">
        <v>81</v>
      </c>
      <c r="B238" s="85"/>
      <c r="C238" s="85"/>
      <c r="D238" s="112"/>
      <c r="E238" s="85"/>
      <c r="F238" s="111">
        <f>ROUND(SUM(F234:F237),0)</f>
        <v>140871294</v>
      </c>
    </row>
    <row r="239" spans="1:6" x14ac:dyDescent="0.2">
      <c r="A239" s="77" t="s">
        <v>82</v>
      </c>
      <c r="B239" s="85"/>
      <c r="C239" s="85"/>
      <c r="D239" s="112">
        <v>0.19</v>
      </c>
      <c r="E239" s="85"/>
      <c r="F239" s="111">
        <f>ROUND(F237*D239,0)</f>
        <v>998714</v>
      </c>
    </row>
    <row r="240" spans="1:6" x14ac:dyDescent="0.2">
      <c r="A240" s="88" t="s">
        <v>83</v>
      </c>
      <c r="B240" s="88"/>
      <c r="C240" s="88"/>
      <c r="D240" s="88"/>
      <c r="E240" s="88"/>
      <c r="F240" s="111">
        <f>ROUND(SUM(F238+F239),0)</f>
        <v>141870008</v>
      </c>
    </row>
    <row r="244" spans="1:6" ht="42" customHeight="1" x14ac:dyDescent="0.2">
      <c r="A244" s="637" t="s">
        <v>733</v>
      </c>
      <c r="B244" s="637"/>
      <c r="C244" s="637"/>
      <c r="D244" s="637"/>
      <c r="E244" s="637"/>
      <c r="F244" s="637"/>
    </row>
    <row r="245" spans="1:6" x14ac:dyDescent="0.2">
      <c r="A245" s="374" t="s">
        <v>204</v>
      </c>
      <c r="B245" s="374" t="s">
        <v>10</v>
      </c>
      <c r="C245" s="374" t="s">
        <v>174</v>
      </c>
      <c r="D245" s="374" t="s">
        <v>35</v>
      </c>
      <c r="E245" s="374" t="s">
        <v>175</v>
      </c>
      <c r="F245" s="374" t="s">
        <v>176</v>
      </c>
    </row>
    <row r="246" spans="1:6" x14ac:dyDescent="0.2">
      <c r="A246" s="117" t="s">
        <v>177</v>
      </c>
      <c r="B246" s="359" t="s">
        <v>38</v>
      </c>
      <c r="C246" s="117"/>
      <c r="D246" s="360"/>
      <c r="E246" s="361"/>
      <c r="F246" s="361"/>
    </row>
    <row r="247" spans="1:6" ht="25.5" x14ac:dyDescent="0.2">
      <c r="A247" s="117" t="s">
        <v>11</v>
      </c>
      <c r="B247" s="134" t="s">
        <v>359</v>
      </c>
      <c r="C247" s="117" t="s">
        <v>22</v>
      </c>
      <c r="D247" s="360">
        <v>104.5</v>
      </c>
      <c r="E247" s="361">
        <v>6675</v>
      </c>
      <c r="F247" s="361">
        <f t="shared" ref="F247:F251" si="35">ROUND(D247*E247,0)</f>
        <v>697538</v>
      </c>
    </row>
    <row r="248" spans="1:6" ht="63.75" x14ac:dyDescent="0.2">
      <c r="A248" s="117" t="s">
        <v>178</v>
      </c>
      <c r="B248" s="362" t="s">
        <v>419</v>
      </c>
      <c r="C248" s="117" t="s">
        <v>179</v>
      </c>
      <c r="D248" s="360">
        <v>83.2</v>
      </c>
      <c r="E248" s="361">
        <v>11282</v>
      </c>
      <c r="F248" s="361">
        <f t="shared" si="35"/>
        <v>938662</v>
      </c>
    </row>
    <row r="249" spans="1:6" ht="38.25" x14ac:dyDescent="0.2">
      <c r="A249" s="117" t="s">
        <v>13</v>
      </c>
      <c r="B249" s="134" t="s">
        <v>362</v>
      </c>
      <c r="C249" s="117" t="s">
        <v>45</v>
      </c>
      <c r="D249" s="360">
        <v>1</v>
      </c>
      <c r="E249" s="361">
        <v>658103</v>
      </c>
      <c r="F249" s="361">
        <f t="shared" si="35"/>
        <v>658103</v>
      </c>
    </row>
    <row r="250" spans="1:6" ht="51" x14ac:dyDescent="0.2">
      <c r="A250" s="117" t="s">
        <v>180</v>
      </c>
      <c r="B250" s="134" t="s">
        <v>420</v>
      </c>
      <c r="C250" s="117" t="s">
        <v>27</v>
      </c>
      <c r="D250" s="360">
        <v>382.5</v>
      </c>
      <c r="E250" s="361">
        <v>13149</v>
      </c>
      <c r="F250" s="361">
        <f t="shared" si="35"/>
        <v>5029493</v>
      </c>
    </row>
    <row r="251" spans="1:6" ht="38.25" x14ac:dyDescent="0.2">
      <c r="A251" s="117" t="s">
        <v>208</v>
      </c>
      <c r="B251" s="121" t="s">
        <v>421</v>
      </c>
      <c r="C251" s="117" t="s">
        <v>45</v>
      </c>
      <c r="D251" s="360">
        <v>6</v>
      </c>
      <c r="E251" s="361">
        <v>206471</v>
      </c>
      <c r="F251" s="361">
        <f t="shared" si="35"/>
        <v>1238826</v>
      </c>
    </row>
    <row r="252" spans="1:6" x14ac:dyDescent="0.2">
      <c r="A252" s="117">
        <v>2</v>
      </c>
      <c r="B252" s="359" t="s">
        <v>182</v>
      </c>
      <c r="C252" s="117"/>
      <c r="D252" s="360"/>
      <c r="E252" s="361" t="s">
        <v>0</v>
      </c>
      <c r="F252" s="361"/>
    </row>
    <row r="253" spans="1:6" x14ac:dyDescent="0.2">
      <c r="A253" s="117" t="s">
        <v>183</v>
      </c>
      <c r="B253" s="126" t="s">
        <v>211</v>
      </c>
      <c r="C253" s="117" t="s">
        <v>12</v>
      </c>
      <c r="D253" s="360">
        <v>80</v>
      </c>
      <c r="E253" s="361">
        <v>127127</v>
      </c>
      <c r="F253" s="361">
        <f t="shared" ref="F253:F255" si="36">ROUND(D253*E253,0)</f>
        <v>10170160</v>
      </c>
    </row>
    <row r="254" spans="1:6" ht="25.5" x14ac:dyDescent="0.2">
      <c r="A254" s="117" t="s">
        <v>249</v>
      </c>
      <c r="B254" s="134" t="s">
        <v>212</v>
      </c>
      <c r="C254" s="117" t="s">
        <v>12</v>
      </c>
      <c r="D254" s="360">
        <v>2</v>
      </c>
      <c r="E254" s="361">
        <v>95023</v>
      </c>
      <c r="F254" s="361">
        <f t="shared" si="36"/>
        <v>190046</v>
      </c>
    </row>
    <row r="255" spans="1:6" ht="25.5" x14ac:dyDescent="0.2">
      <c r="A255" s="117" t="s">
        <v>251</v>
      </c>
      <c r="B255" s="134" t="s">
        <v>213</v>
      </c>
      <c r="C255" s="117" t="s">
        <v>12</v>
      </c>
      <c r="D255" s="375">
        <v>0.5</v>
      </c>
      <c r="E255" s="361">
        <v>91543</v>
      </c>
      <c r="F255" s="361">
        <f t="shared" si="36"/>
        <v>45772</v>
      </c>
    </row>
    <row r="256" spans="1:6" x14ac:dyDescent="0.2">
      <c r="A256" s="117">
        <v>3</v>
      </c>
      <c r="B256" s="364" t="s">
        <v>184</v>
      </c>
      <c r="C256" s="117"/>
      <c r="D256" s="360"/>
      <c r="E256" s="361" t="s">
        <v>0</v>
      </c>
      <c r="F256" s="361"/>
    </row>
    <row r="257" spans="1:6" ht="25.5" x14ac:dyDescent="0.2">
      <c r="A257" s="117" t="s">
        <v>214</v>
      </c>
      <c r="B257" s="363" t="s">
        <v>422</v>
      </c>
      <c r="C257" s="117" t="s">
        <v>12</v>
      </c>
      <c r="D257" s="360">
        <v>150</v>
      </c>
      <c r="E257" s="361">
        <v>26129</v>
      </c>
      <c r="F257" s="361">
        <f t="shared" ref="F257:F259" si="37">ROUND(D257*E257,0)</f>
        <v>3919350</v>
      </c>
    </row>
    <row r="258" spans="1:6" ht="25.5" x14ac:dyDescent="0.2">
      <c r="A258" s="117" t="s">
        <v>267</v>
      </c>
      <c r="B258" s="363" t="s">
        <v>423</v>
      </c>
      <c r="C258" s="117" t="s">
        <v>12</v>
      </c>
      <c r="D258" s="360">
        <v>29.75</v>
      </c>
      <c r="E258" s="361">
        <v>31064</v>
      </c>
      <c r="F258" s="361">
        <f t="shared" si="37"/>
        <v>924154</v>
      </c>
    </row>
    <row r="259" spans="1:6" ht="25.5" x14ac:dyDescent="0.2">
      <c r="A259" s="117" t="s">
        <v>268</v>
      </c>
      <c r="B259" s="362" t="s">
        <v>361</v>
      </c>
      <c r="C259" s="117" t="s">
        <v>22</v>
      </c>
      <c r="D259" s="360">
        <v>36</v>
      </c>
      <c r="E259" s="361">
        <v>28224</v>
      </c>
      <c r="F259" s="361">
        <f t="shared" si="37"/>
        <v>1016064</v>
      </c>
    </row>
    <row r="260" spans="1:6" ht="25.5" x14ac:dyDescent="0.2">
      <c r="A260" s="117" t="s">
        <v>365</v>
      </c>
      <c r="B260" s="364" t="s">
        <v>366</v>
      </c>
      <c r="C260" s="117"/>
      <c r="D260" s="360"/>
      <c r="E260" s="361" t="s">
        <v>0</v>
      </c>
      <c r="F260" s="361"/>
    </row>
    <row r="261" spans="1:6" ht="25.5" x14ac:dyDescent="0.2">
      <c r="A261" s="117" t="s">
        <v>186</v>
      </c>
      <c r="B261" s="362" t="s">
        <v>424</v>
      </c>
      <c r="C261" s="117" t="s">
        <v>12</v>
      </c>
      <c r="D261" s="360">
        <v>280</v>
      </c>
      <c r="E261" s="361">
        <v>32000</v>
      </c>
      <c r="F261" s="361">
        <f t="shared" ref="F261" si="38">ROUND(D261*E261,0)</f>
        <v>8960000</v>
      </c>
    </row>
    <row r="262" spans="1:6" x14ac:dyDescent="0.2">
      <c r="A262" s="117">
        <v>5</v>
      </c>
      <c r="B262" s="364" t="s">
        <v>217</v>
      </c>
      <c r="C262" s="117"/>
      <c r="D262" s="360"/>
      <c r="E262" s="361" t="s">
        <v>0</v>
      </c>
      <c r="F262" s="361"/>
    </row>
    <row r="263" spans="1:6" ht="38.25" x14ac:dyDescent="0.2">
      <c r="A263" s="117" t="s">
        <v>188</v>
      </c>
      <c r="B263" s="362" t="s">
        <v>425</v>
      </c>
      <c r="C263" s="117" t="s">
        <v>12</v>
      </c>
      <c r="D263" s="360">
        <v>110</v>
      </c>
      <c r="E263" s="361">
        <v>21447</v>
      </c>
      <c r="F263" s="361">
        <f t="shared" ref="F263:F264" si="39">ROUND(D263*E263,0)</f>
        <v>2359170</v>
      </c>
    </row>
    <row r="264" spans="1:6" ht="25.5" x14ac:dyDescent="0.2">
      <c r="A264" s="117" t="s">
        <v>189</v>
      </c>
      <c r="B264" s="362" t="s">
        <v>369</v>
      </c>
      <c r="C264" s="117" t="s">
        <v>12</v>
      </c>
      <c r="D264" s="360">
        <v>23.8</v>
      </c>
      <c r="E264" s="361">
        <v>123937</v>
      </c>
      <c r="F264" s="361">
        <f t="shared" si="39"/>
        <v>2949701</v>
      </c>
    </row>
    <row r="265" spans="1:6" ht="25.5" x14ac:dyDescent="0.2">
      <c r="A265" s="117">
        <v>6</v>
      </c>
      <c r="B265" s="364" t="s">
        <v>370</v>
      </c>
      <c r="C265" s="117"/>
      <c r="D265" s="360"/>
      <c r="E265" s="361" t="s">
        <v>0</v>
      </c>
      <c r="F265" s="361"/>
    </row>
    <row r="266" spans="1:6" ht="38.25" x14ac:dyDescent="0.2">
      <c r="A266" s="117" t="s">
        <v>221</v>
      </c>
      <c r="B266" s="362" t="s">
        <v>631</v>
      </c>
      <c r="C266" s="117" t="s">
        <v>12</v>
      </c>
      <c r="D266" s="360">
        <v>60</v>
      </c>
      <c r="E266" s="361">
        <v>188120</v>
      </c>
      <c r="F266" s="361">
        <f t="shared" ref="F266:F267" si="40">ROUND(D266*E266,0)</f>
        <v>11287200</v>
      </c>
    </row>
    <row r="267" spans="1:6" ht="25.5" x14ac:dyDescent="0.2">
      <c r="A267" s="117" t="s">
        <v>253</v>
      </c>
      <c r="B267" s="362" t="s">
        <v>373</v>
      </c>
      <c r="C267" s="117" t="s">
        <v>12</v>
      </c>
      <c r="D267" s="360">
        <v>31.9</v>
      </c>
      <c r="E267" s="361">
        <v>143026</v>
      </c>
      <c r="F267" s="361">
        <f t="shared" si="40"/>
        <v>4562529</v>
      </c>
    </row>
    <row r="268" spans="1:6" x14ac:dyDescent="0.2">
      <c r="A268" s="117">
        <v>7</v>
      </c>
      <c r="B268" s="364" t="s">
        <v>374</v>
      </c>
      <c r="C268" s="117"/>
      <c r="D268" s="360"/>
      <c r="E268" s="361" t="s">
        <v>0</v>
      </c>
      <c r="F268" s="361"/>
    </row>
    <row r="269" spans="1:6" ht="38.25" x14ac:dyDescent="0.2">
      <c r="A269" s="117" t="s">
        <v>223</v>
      </c>
      <c r="B269" s="362" t="s">
        <v>426</v>
      </c>
      <c r="C269" s="117" t="s">
        <v>179</v>
      </c>
      <c r="D269" s="360">
        <v>73</v>
      </c>
      <c r="E269" s="361">
        <v>24250</v>
      </c>
      <c r="F269" s="361">
        <f t="shared" ref="F269:F277" si="41">ROUND(D269*E269,0)</f>
        <v>1770250</v>
      </c>
    </row>
    <row r="270" spans="1:6" ht="38.25" x14ac:dyDescent="0.2">
      <c r="A270" s="117" t="s">
        <v>286</v>
      </c>
      <c r="B270" s="362" t="s">
        <v>427</v>
      </c>
      <c r="C270" s="117" t="s">
        <v>179</v>
      </c>
      <c r="D270" s="360">
        <v>28</v>
      </c>
      <c r="E270" s="361">
        <v>12125</v>
      </c>
      <c r="F270" s="361">
        <f t="shared" si="41"/>
        <v>339500</v>
      </c>
    </row>
    <row r="271" spans="1:6" ht="25.5" x14ac:dyDescent="0.2">
      <c r="A271" s="117" t="s">
        <v>278</v>
      </c>
      <c r="B271" s="134" t="s">
        <v>428</v>
      </c>
      <c r="C271" s="117" t="s">
        <v>60</v>
      </c>
      <c r="D271" s="360">
        <v>2</v>
      </c>
      <c r="E271" s="361">
        <v>105061</v>
      </c>
      <c r="F271" s="361">
        <f t="shared" si="41"/>
        <v>210122</v>
      </c>
    </row>
    <row r="272" spans="1:6" ht="25.5" x14ac:dyDescent="0.2">
      <c r="A272" s="117" t="s">
        <v>224</v>
      </c>
      <c r="B272" s="362" t="s">
        <v>377</v>
      </c>
      <c r="C272" s="117" t="s">
        <v>60</v>
      </c>
      <c r="D272" s="360">
        <v>4</v>
      </c>
      <c r="E272" s="361">
        <v>61936</v>
      </c>
      <c r="F272" s="361">
        <f t="shared" si="41"/>
        <v>247744</v>
      </c>
    </row>
    <row r="273" spans="1:6" ht="38.25" x14ac:dyDescent="0.2">
      <c r="A273" s="117">
        <v>7.5</v>
      </c>
      <c r="B273" s="134" t="s">
        <v>429</v>
      </c>
      <c r="C273" s="117" t="s">
        <v>60</v>
      </c>
      <c r="D273" s="360">
        <v>2</v>
      </c>
      <c r="E273" s="361">
        <v>612178</v>
      </c>
      <c r="F273" s="361">
        <f t="shared" si="41"/>
        <v>1224356</v>
      </c>
    </row>
    <row r="274" spans="1:6" ht="25.5" x14ac:dyDescent="0.2">
      <c r="A274" s="117">
        <f>A273+0.1</f>
        <v>7.6</v>
      </c>
      <c r="B274" s="121" t="s">
        <v>255</v>
      </c>
      <c r="C274" s="117" t="s">
        <v>60</v>
      </c>
      <c r="D274" s="360">
        <v>2</v>
      </c>
      <c r="E274" s="361">
        <v>512038</v>
      </c>
      <c r="F274" s="361">
        <f t="shared" si="41"/>
        <v>1024076</v>
      </c>
    </row>
    <row r="275" spans="1:6" ht="38.25" x14ac:dyDescent="0.2">
      <c r="A275" s="117">
        <f t="shared" ref="A275:A277" si="42">A274+0.1</f>
        <v>7.6999999999999993</v>
      </c>
      <c r="B275" s="363" t="s">
        <v>430</v>
      </c>
      <c r="C275" s="117" t="s">
        <v>45</v>
      </c>
      <c r="D275" s="360">
        <v>7</v>
      </c>
      <c r="E275" s="361">
        <v>389736</v>
      </c>
      <c r="F275" s="361">
        <f t="shared" si="41"/>
        <v>2728152</v>
      </c>
    </row>
    <row r="276" spans="1:6" x14ac:dyDescent="0.2">
      <c r="A276" s="117">
        <f t="shared" si="42"/>
        <v>7.7999999999999989</v>
      </c>
      <c r="B276" s="376" t="s">
        <v>431</v>
      </c>
      <c r="C276" s="117" t="s">
        <v>60</v>
      </c>
      <c r="D276" s="360">
        <v>7</v>
      </c>
      <c r="E276" s="361">
        <v>55580</v>
      </c>
      <c r="F276" s="361">
        <f t="shared" si="41"/>
        <v>389060</v>
      </c>
    </row>
    <row r="277" spans="1:6" ht="51" x14ac:dyDescent="0.2">
      <c r="A277" s="117">
        <f t="shared" si="42"/>
        <v>7.8999999999999986</v>
      </c>
      <c r="B277" s="134" t="s">
        <v>432</v>
      </c>
      <c r="C277" s="117" t="s">
        <v>45</v>
      </c>
      <c r="D277" s="360">
        <v>2</v>
      </c>
      <c r="E277" s="361">
        <v>688008</v>
      </c>
      <c r="F277" s="361">
        <f t="shared" si="41"/>
        <v>1376016</v>
      </c>
    </row>
    <row r="278" spans="1:6" x14ac:dyDescent="0.2">
      <c r="A278" s="117">
        <v>8</v>
      </c>
      <c r="B278" s="377" t="s">
        <v>236</v>
      </c>
      <c r="C278" s="117"/>
      <c r="D278" s="360"/>
      <c r="E278" s="361" t="s">
        <v>0</v>
      </c>
      <c r="F278" s="361"/>
    </row>
    <row r="279" spans="1:6" x14ac:dyDescent="0.2">
      <c r="A279" s="117" t="s">
        <v>237</v>
      </c>
      <c r="B279" s="376" t="s">
        <v>238</v>
      </c>
      <c r="C279" s="117" t="s">
        <v>22</v>
      </c>
      <c r="D279" s="360">
        <v>250</v>
      </c>
      <c r="E279" s="361">
        <v>12576</v>
      </c>
      <c r="F279" s="361">
        <f t="shared" ref="F279:F283" si="43">ROUND(D279*E279,0)</f>
        <v>3144000</v>
      </c>
    </row>
    <row r="280" spans="1:6" ht="51" x14ac:dyDescent="0.2">
      <c r="A280" s="117" t="s">
        <v>239</v>
      </c>
      <c r="B280" s="121" t="s">
        <v>632</v>
      </c>
      <c r="C280" s="117" t="s">
        <v>12</v>
      </c>
      <c r="D280" s="360">
        <v>46</v>
      </c>
      <c r="E280" s="361">
        <v>1047340</v>
      </c>
      <c r="F280" s="361">
        <f t="shared" si="43"/>
        <v>48177640</v>
      </c>
    </row>
    <row r="281" spans="1:6" ht="38.25" x14ac:dyDescent="0.2">
      <c r="A281" s="117" t="s">
        <v>240</v>
      </c>
      <c r="B281" s="134" t="s">
        <v>433</v>
      </c>
      <c r="C281" s="117" t="s">
        <v>22</v>
      </c>
      <c r="D281" s="360">
        <v>270</v>
      </c>
      <c r="E281" s="361">
        <v>10393</v>
      </c>
      <c r="F281" s="361">
        <f t="shared" si="43"/>
        <v>2806110</v>
      </c>
    </row>
    <row r="282" spans="1:6" ht="25.5" x14ac:dyDescent="0.2">
      <c r="A282" s="117" t="s">
        <v>248</v>
      </c>
      <c r="B282" s="365" t="s">
        <v>241</v>
      </c>
      <c r="C282" s="117" t="s">
        <v>12</v>
      </c>
      <c r="D282" s="360">
        <v>0.5</v>
      </c>
      <c r="E282" s="361">
        <v>724782</v>
      </c>
      <c r="F282" s="361">
        <f t="shared" si="43"/>
        <v>362391</v>
      </c>
    </row>
    <row r="283" spans="1:6" ht="76.5" x14ac:dyDescent="0.2">
      <c r="A283" s="117" t="s">
        <v>326</v>
      </c>
      <c r="B283" s="378" t="s">
        <v>434</v>
      </c>
      <c r="C283" s="117" t="s">
        <v>207</v>
      </c>
      <c r="D283" s="360">
        <v>1500</v>
      </c>
      <c r="E283" s="361">
        <v>5743</v>
      </c>
      <c r="F283" s="361">
        <f t="shared" si="43"/>
        <v>8614500</v>
      </c>
    </row>
    <row r="284" spans="1:6" x14ac:dyDescent="0.2">
      <c r="A284" s="113">
        <v>9</v>
      </c>
      <c r="B284" s="379" t="s">
        <v>392</v>
      </c>
      <c r="C284" s="117"/>
      <c r="D284" s="360"/>
      <c r="E284" s="361" t="s">
        <v>0</v>
      </c>
      <c r="F284" s="361"/>
    </row>
    <row r="285" spans="1:6" ht="25.5" x14ac:dyDescent="0.2">
      <c r="A285" s="117" t="s">
        <v>243</v>
      </c>
      <c r="B285" s="134" t="s">
        <v>435</v>
      </c>
      <c r="C285" s="117" t="s">
        <v>22</v>
      </c>
      <c r="D285" s="117">
        <v>103</v>
      </c>
      <c r="E285" s="361">
        <v>7445</v>
      </c>
      <c r="F285" s="361">
        <f t="shared" ref="F285:F289" si="44">ROUND(D285*E285,0)</f>
        <v>766835</v>
      </c>
    </row>
    <row r="286" spans="1:6" ht="76.5" x14ac:dyDescent="0.2">
      <c r="A286" s="117" t="s">
        <v>393</v>
      </c>
      <c r="B286" s="134" t="s">
        <v>436</v>
      </c>
      <c r="C286" s="117" t="s">
        <v>60</v>
      </c>
      <c r="D286" s="117">
        <v>21</v>
      </c>
      <c r="E286" s="361">
        <v>61624</v>
      </c>
      <c r="F286" s="361">
        <f t="shared" si="44"/>
        <v>1294104</v>
      </c>
    </row>
    <row r="287" spans="1:6" ht="25.5" x14ac:dyDescent="0.2">
      <c r="A287" s="117" t="s">
        <v>394</v>
      </c>
      <c r="B287" s="134" t="s">
        <v>437</v>
      </c>
      <c r="C287" s="117" t="s">
        <v>60</v>
      </c>
      <c r="D287" s="117">
        <v>2</v>
      </c>
      <c r="E287" s="361">
        <v>186130</v>
      </c>
      <c r="F287" s="361">
        <f t="shared" si="44"/>
        <v>372260</v>
      </c>
    </row>
    <row r="288" spans="1:6" ht="51" x14ac:dyDescent="0.2">
      <c r="A288" s="117" t="s">
        <v>395</v>
      </c>
      <c r="B288" s="121" t="s">
        <v>438</v>
      </c>
      <c r="C288" s="117" t="s">
        <v>45</v>
      </c>
      <c r="D288" s="117">
        <v>2</v>
      </c>
      <c r="E288" s="361">
        <v>606131</v>
      </c>
      <c r="F288" s="361">
        <f t="shared" si="44"/>
        <v>1212262</v>
      </c>
    </row>
    <row r="289" spans="1:6" x14ac:dyDescent="0.2">
      <c r="A289" s="117" t="s">
        <v>397</v>
      </c>
      <c r="B289" s="134" t="s">
        <v>398</v>
      </c>
      <c r="C289" s="117" t="s">
        <v>60</v>
      </c>
      <c r="D289" s="117">
        <v>4</v>
      </c>
      <c r="E289" s="361">
        <v>97758</v>
      </c>
      <c r="F289" s="361">
        <f t="shared" si="44"/>
        <v>391032</v>
      </c>
    </row>
    <row r="290" spans="1:6" x14ac:dyDescent="0.2">
      <c r="A290" s="113">
        <v>10</v>
      </c>
      <c r="B290" s="380" t="s">
        <v>242</v>
      </c>
      <c r="C290" s="117"/>
      <c r="D290" s="360"/>
      <c r="E290" s="361" t="s">
        <v>0</v>
      </c>
      <c r="F290" s="361"/>
    </row>
    <row r="291" spans="1:6" ht="38.25" x14ac:dyDescent="0.2">
      <c r="A291" s="381" t="s">
        <v>324</v>
      </c>
      <c r="B291" s="382" t="s">
        <v>383</v>
      </c>
      <c r="C291" s="381" t="s">
        <v>206</v>
      </c>
      <c r="D291" s="383">
        <v>1.25</v>
      </c>
      <c r="E291" s="384">
        <v>1404940</v>
      </c>
      <c r="F291" s="384">
        <f t="shared" ref="F291" si="45">ROUND(D291*E291,0)</f>
        <v>1756175</v>
      </c>
    </row>
    <row r="292" spans="1:6" x14ac:dyDescent="0.2">
      <c r="A292" s="126"/>
      <c r="B292" s="359" t="s">
        <v>30</v>
      </c>
      <c r="C292" s="117"/>
      <c r="D292" s="117"/>
      <c r="E292" s="361"/>
      <c r="F292" s="125">
        <f>ROUND(SUM(F247:F291),0)</f>
        <v>133153353</v>
      </c>
    </row>
    <row r="293" spans="1:6" x14ac:dyDescent="0.2">
      <c r="A293" s="126"/>
      <c r="B293" s="359"/>
      <c r="C293" s="117"/>
      <c r="D293" s="117"/>
      <c r="E293" s="361"/>
      <c r="F293" s="361"/>
    </row>
    <row r="294" spans="1:6" x14ac:dyDescent="0.2">
      <c r="A294" s="126"/>
      <c r="B294" s="335" t="s">
        <v>77</v>
      </c>
      <c r="C294" s="336"/>
      <c r="D294" s="336"/>
      <c r="E294" s="336"/>
      <c r="F294" s="336"/>
    </row>
    <row r="295" spans="1:6" x14ac:dyDescent="0.2">
      <c r="A295" s="126"/>
      <c r="B295" s="335" t="s">
        <v>78</v>
      </c>
      <c r="C295" s="336"/>
      <c r="D295" s="336"/>
      <c r="E295" s="336"/>
      <c r="F295" s="347">
        <f>ROUND(F292/1.3495,0)</f>
        <v>98668657</v>
      </c>
    </row>
    <row r="296" spans="1:6" x14ac:dyDescent="0.2">
      <c r="A296" s="126"/>
      <c r="B296" s="335" t="s">
        <v>79</v>
      </c>
      <c r="C296" s="336"/>
      <c r="D296" s="336"/>
      <c r="E296" s="338">
        <v>0.24</v>
      </c>
      <c r="F296" s="347">
        <f>ROUND(F295*E296,0)</f>
        <v>23680478</v>
      </c>
    </row>
    <row r="297" spans="1:6" x14ac:dyDescent="0.2">
      <c r="A297" s="126"/>
      <c r="B297" s="335" t="s">
        <v>32</v>
      </c>
      <c r="C297" s="336"/>
      <c r="D297" s="336"/>
      <c r="E297" s="338">
        <v>0.05</v>
      </c>
      <c r="F297" s="347">
        <f>ROUND(F295*E297,0)</f>
        <v>4933433</v>
      </c>
    </row>
    <row r="298" spans="1:6" x14ac:dyDescent="0.2">
      <c r="A298" s="126"/>
      <c r="B298" s="335" t="s">
        <v>80</v>
      </c>
      <c r="C298" s="339"/>
      <c r="D298" s="339"/>
      <c r="E298" s="338">
        <v>0.05</v>
      </c>
      <c r="F298" s="347">
        <f>ROUND(F295*E298,0)</f>
        <v>4933433</v>
      </c>
    </row>
    <row r="299" spans="1:6" x14ac:dyDescent="0.2">
      <c r="A299" s="126"/>
      <c r="B299" s="335" t="s">
        <v>81</v>
      </c>
      <c r="C299" s="339"/>
      <c r="D299" s="339"/>
      <c r="E299" s="338"/>
      <c r="F299" s="348">
        <f>ROUND(SUM(F295:F298),0)</f>
        <v>132216001</v>
      </c>
    </row>
    <row r="300" spans="1:6" x14ac:dyDescent="0.2">
      <c r="A300" s="126"/>
      <c r="B300" s="335" t="s">
        <v>82</v>
      </c>
      <c r="C300" s="339"/>
      <c r="D300" s="339"/>
      <c r="E300" s="338">
        <v>0.19</v>
      </c>
      <c r="F300" s="111">
        <f>ROUND(F298*E300,0)</f>
        <v>937352</v>
      </c>
    </row>
    <row r="301" spans="1:6" x14ac:dyDescent="0.2">
      <c r="A301" s="126"/>
      <c r="B301" s="340" t="s">
        <v>83</v>
      </c>
      <c r="C301" s="340"/>
      <c r="D301" s="340"/>
      <c r="E301" s="340"/>
      <c r="F301" s="111">
        <f>ROUND(SUM(F299+F300),0)</f>
        <v>133153353</v>
      </c>
    </row>
    <row r="303" spans="1:6" ht="13.5" thickBot="1" x14ac:dyDescent="0.25"/>
    <row r="304" spans="1:6" ht="46.5" customHeight="1" thickBot="1" x14ac:dyDescent="0.25">
      <c r="A304" s="650" t="s">
        <v>358</v>
      </c>
      <c r="B304" s="651"/>
      <c r="C304" s="651"/>
      <c r="D304" s="651"/>
      <c r="E304" s="651"/>
      <c r="F304" s="652"/>
    </row>
    <row r="305" spans="1:6" x14ac:dyDescent="0.2">
      <c r="A305" s="385" t="s">
        <v>204</v>
      </c>
      <c r="B305" s="385" t="s">
        <v>10</v>
      </c>
      <c r="C305" s="385" t="s">
        <v>174</v>
      </c>
      <c r="D305" s="385" t="s">
        <v>35</v>
      </c>
      <c r="E305" s="385" t="s">
        <v>175</v>
      </c>
      <c r="F305" s="385" t="s">
        <v>176</v>
      </c>
    </row>
    <row r="306" spans="1:6" x14ac:dyDescent="0.2">
      <c r="A306" s="116" t="s">
        <v>177</v>
      </c>
      <c r="B306" s="115" t="s">
        <v>38</v>
      </c>
      <c r="C306" s="116"/>
      <c r="D306" s="214"/>
      <c r="E306" s="213"/>
      <c r="F306" s="213"/>
    </row>
    <row r="307" spans="1:6" ht="25.5" x14ac:dyDescent="0.2">
      <c r="A307" s="116" t="s">
        <v>11</v>
      </c>
      <c r="B307" s="121" t="s">
        <v>359</v>
      </c>
      <c r="C307" s="116" t="s">
        <v>22</v>
      </c>
      <c r="D307" s="214">
        <v>104</v>
      </c>
      <c r="E307" s="213">
        <v>7142</v>
      </c>
      <c r="F307" s="213">
        <f t="shared" ref="F307:F322" si="46">ROUND(D307*E307,0)</f>
        <v>742768</v>
      </c>
    </row>
    <row r="308" spans="1:6" ht="51" x14ac:dyDescent="0.2">
      <c r="A308" s="116" t="s">
        <v>178</v>
      </c>
      <c r="B308" s="363" t="s">
        <v>360</v>
      </c>
      <c r="C308" s="116" t="s">
        <v>179</v>
      </c>
      <c r="D308" s="214">
        <v>152</v>
      </c>
      <c r="E308" s="213">
        <v>6553</v>
      </c>
      <c r="F308" s="213">
        <f t="shared" si="46"/>
        <v>996056</v>
      </c>
    </row>
    <row r="309" spans="1:6" ht="25.5" x14ac:dyDescent="0.2">
      <c r="A309" s="116" t="s">
        <v>13</v>
      </c>
      <c r="B309" s="363" t="s">
        <v>361</v>
      </c>
      <c r="C309" s="116" t="s">
        <v>22</v>
      </c>
      <c r="D309" s="214">
        <v>50</v>
      </c>
      <c r="E309" s="213">
        <v>30200</v>
      </c>
      <c r="F309" s="213">
        <f t="shared" si="46"/>
        <v>1510000</v>
      </c>
    </row>
    <row r="310" spans="1:6" ht="38.25" x14ac:dyDescent="0.2">
      <c r="A310" s="116" t="s">
        <v>180</v>
      </c>
      <c r="B310" s="121" t="s">
        <v>362</v>
      </c>
      <c r="C310" s="116" t="s">
        <v>45</v>
      </c>
      <c r="D310" s="214">
        <v>1</v>
      </c>
      <c r="E310" s="213">
        <v>704170</v>
      </c>
      <c r="F310" s="213">
        <f t="shared" si="46"/>
        <v>704170</v>
      </c>
    </row>
    <row r="311" spans="1:6" x14ac:dyDescent="0.2">
      <c r="A311" s="116">
        <v>2</v>
      </c>
      <c r="B311" s="115" t="s">
        <v>182</v>
      </c>
      <c r="C311" s="116"/>
      <c r="D311" s="214"/>
      <c r="E311" s="213" t="s">
        <v>0</v>
      </c>
      <c r="F311" s="213"/>
    </row>
    <row r="312" spans="1:6" x14ac:dyDescent="0.2">
      <c r="A312" s="116" t="s">
        <v>183</v>
      </c>
      <c r="B312" s="363" t="s">
        <v>211</v>
      </c>
      <c r="C312" s="116" t="s">
        <v>12</v>
      </c>
      <c r="D312" s="214">
        <v>5.55</v>
      </c>
      <c r="E312" s="213">
        <v>136025</v>
      </c>
      <c r="F312" s="213">
        <f t="shared" si="46"/>
        <v>754939</v>
      </c>
    </row>
    <row r="313" spans="1:6" ht="25.5" x14ac:dyDescent="0.2">
      <c r="A313" s="116" t="s">
        <v>249</v>
      </c>
      <c r="B313" s="121" t="s">
        <v>212</v>
      </c>
      <c r="C313" s="116" t="s">
        <v>12</v>
      </c>
      <c r="D313" s="214">
        <v>1.1000000000000001</v>
      </c>
      <c r="E313" s="213">
        <v>101675</v>
      </c>
      <c r="F313" s="213">
        <f t="shared" si="46"/>
        <v>111843</v>
      </c>
    </row>
    <row r="314" spans="1:6" ht="25.5" x14ac:dyDescent="0.2">
      <c r="A314" s="116" t="s">
        <v>251</v>
      </c>
      <c r="B314" s="121" t="s">
        <v>213</v>
      </c>
      <c r="C314" s="116" t="s">
        <v>12</v>
      </c>
      <c r="D314" s="386">
        <v>0.5</v>
      </c>
      <c r="E314" s="213">
        <v>97951</v>
      </c>
      <c r="F314" s="213">
        <f t="shared" si="46"/>
        <v>48976</v>
      </c>
    </row>
    <row r="315" spans="1:6" x14ac:dyDescent="0.2">
      <c r="A315" s="116">
        <v>3</v>
      </c>
      <c r="B315" s="210" t="s">
        <v>184</v>
      </c>
      <c r="C315" s="116"/>
      <c r="D315" s="214"/>
      <c r="E315" s="213" t="s">
        <v>0</v>
      </c>
      <c r="F315" s="213"/>
    </row>
    <row r="316" spans="1:6" ht="25.5" x14ac:dyDescent="0.2">
      <c r="A316" s="116" t="s">
        <v>214</v>
      </c>
      <c r="B316" s="363" t="s">
        <v>363</v>
      </c>
      <c r="C316" s="116" t="s">
        <v>12</v>
      </c>
      <c r="D316" s="214">
        <v>95.42</v>
      </c>
      <c r="E316" s="213">
        <v>27958</v>
      </c>
      <c r="F316" s="213">
        <f t="shared" si="46"/>
        <v>2667752</v>
      </c>
    </row>
    <row r="317" spans="1:6" x14ac:dyDescent="0.2">
      <c r="A317" s="116">
        <v>3.2</v>
      </c>
      <c r="B317" s="363" t="s">
        <v>364</v>
      </c>
      <c r="C317" s="116" t="s">
        <v>12</v>
      </c>
      <c r="D317" s="214">
        <v>40.9</v>
      </c>
      <c r="E317" s="213">
        <v>33239</v>
      </c>
      <c r="F317" s="213">
        <f t="shared" si="46"/>
        <v>1359475</v>
      </c>
    </row>
    <row r="318" spans="1:6" ht="25.5" x14ac:dyDescent="0.2">
      <c r="A318" s="132" t="s">
        <v>365</v>
      </c>
      <c r="B318" s="210" t="s">
        <v>366</v>
      </c>
      <c r="C318" s="116"/>
      <c r="D318" s="214"/>
      <c r="E318" s="213" t="s">
        <v>0</v>
      </c>
      <c r="F318" s="213"/>
    </row>
    <row r="319" spans="1:6" ht="25.5" x14ac:dyDescent="0.2">
      <c r="A319" s="116" t="s">
        <v>186</v>
      </c>
      <c r="B319" s="363" t="s">
        <v>367</v>
      </c>
      <c r="C319" s="116" t="s">
        <v>12</v>
      </c>
      <c r="D319" s="214">
        <v>46.65</v>
      </c>
      <c r="E319" s="213">
        <v>34240</v>
      </c>
      <c r="F319" s="213">
        <f t="shared" si="46"/>
        <v>1597296</v>
      </c>
    </row>
    <row r="320" spans="1:6" x14ac:dyDescent="0.2">
      <c r="A320" s="116">
        <v>5</v>
      </c>
      <c r="B320" s="210" t="s">
        <v>217</v>
      </c>
      <c r="C320" s="116"/>
      <c r="D320" s="214"/>
      <c r="E320" s="213" t="s">
        <v>0</v>
      </c>
      <c r="F320" s="213"/>
    </row>
    <row r="321" spans="1:7" ht="38.25" x14ac:dyDescent="0.2">
      <c r="A321" s="116" t="s">
        <v>188</v>
      </c>
      <c r="B321" s="363" t="s">
        <v>368</v>
      </c>
      <c r="C321" s="116" t="s">
        <v>12</v>
      </c>
      <c r="D321" s="214">
        <v>96.1</v>
      </c>
      <c r="E321" s="213">
        <v>22948</v>
      </c>
      <c r="F321" s="213">
        <f t="shared" si="46"/>
        <v>2205303</v>
      </c>
      <c r="G321" s="358"/>
    </row>
    <row r="322" spans="1:7" ht="25.5" x14ac:dyDescent="0.2">
      <c r="A322" s="116" t="s">
        <v>189</v>
      </c>
      <c r="B322" s="363" t="s">
        <v>369</v>
      </c>
      <c r="C322" s="116" t="s">
        <v>12</v>
      </c>
      <c r="D322" s="214">
        <v>3.36</v>
      </c>
      <c r="E322" s="213">
        <v>132612</v>
      </c>
      <c r="F322" s="213">
        <f t="shared" si="46"/>
        <v>445576</v>
      </c>
    </row>
    <row r="323" spans="1:7" ht="25.5" x14ac:dyDescent="0.2">
      <c r="A323" s="116">
        <v>6</v>
      </c>
      <c r="B323" s="210" t="s">
        <v>370</v>
      </c>
      <c r="C323" s="116"/>
      <c r="D323" s="214"/>
      <c r="E323" s="213" t="s">
        <v>0</v>
      </c>
      <c r="F323" s="213"/>
    </row>
    <row r="324" spans="1:7" ht="38.25" x14ac:dyDescent="0.2">
      <c r="A324" s="116" t="s">
        <v>371</v>
      </c>
      <c r="B324" s="363" t="s">
        <v>372</v>
      </c>
      <c r="C324" s="116" t="s">
        <v>12</v>
      </c>
      <c r="D324" s="214">
        <v>5.04</v>
      </c>
      <c r="E324" s="213">
        <v>201289</v>
      </c>
      <c r="F324" s="213">
        <f t="shared" ref="F324:F325" si="47">ROUND(D324*E324,0)</f>
        <v>1014497</v>
      </c>
    </row>
    <row r="325" spans="1:7" ht="25.5" x14ac:dyDescent="0.2">
      <c r="A325" s="116" t="s">
        <v>253</v>
      </c>
      <c r="B325" s="363" t="s">
        <v>373</v>
      </c>
      <c r="C325" s="116" t="s">
        <v>12</v>
      </c>
      <c r="D325" s="214">
        <v>32.24</v>
      </c>
      <c r="E325" s="213">
        <v>153039</v>
      </c>
      <c r="F325" s="213">
        <f t="shared" si="47"/>
        <v>4933977</v>
      </c>
    </row>
    <row r="326" spans="1:7" x14ac:dyDescent="0.2">
      <c r="A326" s="116">
        <v>7</v>
      </c>
      <c r="B326" s="210" t="s">
        <v>374</v>
      </c>
      <c r="C326" s="116"/>
      <c r="D326" s="214"/>
      <c r="E326" s="213" t="s">
        <v>0</v>
      </c>
      <c r="F326" s="213"/>
    </row>
    <row r="327" spans="1:7" ht="38.25" x14ac:dyDescent="0.2">
      <c r="A327" s="116" t="s">
        <v>223</v>
      </c>
      <c r="B327" s="363" t="s">
        <v>375</v>
      </c>
      <c r="C327" s="116" t="s">
        <v>179</v>
      </c>
      <c r="D327" s="214">
        <v>76</v>
      </c>
      <c r="E327" s="213">
        <v>27764</v>
      </c>
      <c r="F327" s="213">
        <f t="shared" ref="F327:F335" si="48">ROUND(D327*E327,0)</f>
        <v>2110064</v>
      </c>
    </row>
    <row r="328" spans="1:7" ht="38.25" x14ac:dyDescent="0.2">
      <c r="A328" s="116" t="s">
        <v>286</v>
      </c>
      <c r="B328" s="363" t="s">
        <v>376</v>
      </c>
      <c r="C328" s="116" t="s">
        <v>179</v>
      </c>
      <c r="D328" s="214">
        <v>28</v>
      </c>
      <c r="E328" s="213">
        <v>13003</v>
      </c>
      <c r="F328" s="213">
        <f t="shared" si="48"/>
        <v>364084</v>
      </c>
    </row>
    <row r="329" spans="1:7" x14ac:dyDescent="0.2">
      <c r="A329" s="116" t="s">
        <v>278</v>
      </c>
      <c r="B329" s="387" t="s">
        <v>246</v>
      </c>
      <c r="C329" s="116" t="s">
        <v>60</v>
      </c>
      <c r="D329" s="214">
        <v>2</v>
      </c>
      <c r="E329" s="213">
        <v>112416</v>
      </c>
      <c r="F329" s="213">
        <f t="shared" si="48"/>
        <v>224832</v>
      </c>
    </row>
    <row r="330" spans="1:7" ht="25.5" x14ac:dyDescent="0.2">
      <c r="A330" s="116" t="s">
        <v>224</v>
      </c>
      <c r="B330" s="363" t="s">
        <v>377</v>
      </c>
      <c r="C330" s="116" t="s">
        <v>60</v>
      </c>
      <c r="D330" s="214">
        <v>4</v>
      </c>
      <c r="E330" s="213">
        <v>66272</v>
      </c>
      <c r="F330" s="213">
        <f t="shared" si="48"/>
        <v>265088</v>
      </c>
    </row>
    <row r="331" spans="1:7" ht="25.5" x14ac:dyDescent="0.2">
      <c r="A331" s="116" t="s">
        <v>225</v>
      </c>
      <c r="B331" s="121" t="s">
        <v>378</v>
      </c>
      <c r="C331" s="116" t="s">
        <v>22</v>
      </c>
      <c r="D331" s="214">
        <v>3.2</v>
      </c>
      <c r="E331" s="213">
        <v>727926</v>
      </c>
      <c r="F331" s="213">
        <f t="shared" si="48"/>
        <v>2329363</v>
      </c>
    </row>
    <row r="332" spans="1:7" ht="25.5" x14ac:dyDescent="0.2">
      <c r="A332" s="388" t="s">
        <v>227</v>
      </c>
      <c r="B332" s="121" t="s">
        <v>379</v>
      </c>
      <c r="C332" s="116" t="s">
        <v>60</v>
      </c>
      <c r="D332" s="214">
        <v>3</v>
      </c>
      <c r="E332" s="213">
        <v>655030</v>
      </c>
      <c r="F332" s="213">
        <f t="shared" si="48"/>
        <v>1965090</v>
      </c>
    </row>
    <row r="333" spans="1:7" ht="25.5" x14ac:dyDescent="0.2">
      <c r="A333" s="116" t="s">
        <v>229</v>
      </c>
      <c r="B333" s="363" t="s">
        <v>255</v>
      </c>
      <c r="C333" s="116" t="s">
        <v>60</v>
      </c>
      <c r="D333" s="214">
        <v>2</v>
      </c>
      <c r="E333" s="213">
        <v>547882</v>
      </c>
      <c r="F333" s="213">
        <f t="shared" si="48"/>
        <v>1095764</v>
      </c>
    </row>
    <row r="334" spans="1:7" ht="38.25" x14ac:dyDescent="0.2">
      <c r="A334" s="116" t="s">
        <v>231</v>
      </c>
      <c r="B334" s="363" t="s">
        <v>380</v>
      </c>
      <c r="C334" s="116" t="s">
        <v>45</v>
      </c>
      <c r="D334" s="214">
        <v>4</v>
      </c>
      <c r="E334" s="213">
        <v>417018</v>
      </c>
      <c r="F334" s="213">
        <f t="shared" si="48"/>
        <v>1668072</v>
      </c>
    </row>
    <row r="335" spans="1:7" x14ac:dyDescent="0.2">
      <c r="A335" s="388" t="s">
        <v>233</v>
      </c>
      <c r="B335" s="363" t="s">
        <v>381</v>
      </c>
      <c r="C335" s="116" t="s">
        <v>60</v>
      </c>
      <c r="D335" s="214">
        <v>4</v>
      </c>
      <c r="E335" s="213">
        <v>59470</v>
      </c>
      <c r="F335" s="213">
        <f t="shared" si="48"/>
        <v>237880</v>
      </c>
    </row>
    <row r="336" spans="1:7" x14ac:dyDescent="0.2">
      <c r="A336" s="116">
        <v>8</v>
      </c>
      <c r="B336" s="115" t="s">
        <v>236</v>
      </c>
      <c r="C336" s="116"/>
      <c r="D336" s="214"/>
      <c r="E336" s="213" t="s">
        <v>0</v>
      </c>
      <c r="F336" s="213"/>
    </row>
    <row r="337" spans="1:6" x14ac:dyDescent="0.2">
      <c r="A337" s="116" t="s">
        <v>237</v>
      </c>
      <c r="B337" s="363" t="s">
        <v>238</v>
      </c>
      <c r="C337" s="116" t="s">
        <v>22</v>
      </c>
      <c r="D337" s="214">
        <v>68.400000000000006</v>
      </c>
      <c r="E337" s="213">
        <v>13456</v>
      </c>
      <c r="F337" s="213">
        <f t="shared" ref="F337:F339" si="49">ROUND(D337*E337,0)</f>
        <v>920390</v>
      </c>
    </row>
    <row r="338" spans="1:6" ht="51" x14ac:dyDescent="0.2">
      <c r="A338" s="116" t="s">
        <v>239</v>
      </c>
      <c r="B338" s="121" t="s">
        <v>382</v>
      </c>
      <c r="C338" s="116" t="s">
        <v>12</v>
      </c>
      <c r="D338" s="214">
        <v>25.35</v>
      </c>
      <c r="E338" s="213">
        <v>903220</v>
      </c>
      <c r="F338" s="213">
        <f t="shared" si="49"/>
        <v>22896627</v>
      </c>
    </row>
    <row r="339" spans="1:6" ht="25.5" x14ac:dyDescent="0.2">
      <c r="A339" s="116" t="s">
        <v>240</v>
      </c>
      <c r="B339" s="389" t="s">
        <v>241</v>
      </c>
      <c r="C339" s="116" t="s">
        <v>12</v>
      </c>
      <c r="D339" s="214">
        <v>0.5</v>
      </c>
      <c r="E339" s="213">
        <v>775517</v>
      </c>
      <c r="F339" s="213">
        <f t="shared" si="49"/>
        <v>387759</v>
      </c>
    </row>
    <row r="340" spans="1:6" x14ac:dyDescent="0.2">
      <c r="A340" s="132">
        <v>9</v>
      </c>
      <c r="B340" s="390" t="s">
        <v>242</v>
      </c>
      <c r="C340" s="116"/>
      <c r="D340" s="214"/>
      <c r="E340" s="213" t="s">
        <v>0</v>
      </c>
      <c r="F340" s="213"/>
    </row>
    <row r="341" spans="1:6" ht="38.25" x14ac:dyDescent="0.2">
      <c r="A341" s="116" t="s">
        <v>243</v>
      </c>
      <c r="B341" s="391" t="s">
        <v>383</v>
      </c>
      <c r="C341" s="116" t="s">
        <v>206</v>
      </c>
      <c r="D341" s="214">
        <v>1</v>
      </c>
      <c r="E341" s="213">
        <v>1503286</v>
      </c>
      <c r="F341" s="213">
        <f t="shared" ref="F341" si="50">ROUND(D341*E341,0)</f>
        <v>1503286</v>
      </c>
    </row>
    <row r="342" spans="1:6" x14ac:dyDescent="0.2">
      <c r="A342" s="387"/>
      <c r="B342" s="115" t="s">
        <v>30</v>
      </c>
      <c r="C342" s="116"/>
      <c r="D342" s="116"/>
      <c r="E342" s="213"/>
      <c r="F342" s="125">
        <f>ROUND(SUM(F307:F341),0)</f>
        <v>55060927</v>
      </c>
    </row>
    <row r="343" spans="1:6" x14ac:dyDescent="0.2">
      <c r="A343" s="387"/>
      <c r="B343" s="115"/>
      <c r="C343" s="116"/>
      <c r="D343" s="116"/>
      <c r="E343" s="213"/>
      <c r="F343" s="213"/>
    </row>
    <row r="344" spans="1:6" x14ac:dyDescent="0.2">
      <c r="A344" s="387"/>
      <c r="B344" s="335" t="s">
        <v>77</v>
      </c>
      <c r="C344" s="335"/>
      <c r="D344" s="335"/>
      <c r="E344" s="335"/>
      <c r="F344" s="335"/>
    </row>
    <row r="345" spans="1:6" x14ac:dyDescent="0.2">
      <c r="A345" s="387"/>
      <c r="B345" s="335" t="s">
        <v>78</v>
      </c>
      <c r="C345" s="335"/>
      <c r="D345" s="335"/>
      <c r="E345" s="335"/>
      <c r="F345" s="347">
        <f>ROUND(F342/1.3495,0)</f>
        <v>40800983</v>
      </c>
    </row>
    <row r="346" spans="1:6" x14ac:dyDescent="0.2">
      <c r="A346" s="387"/>
      <c r="B346" s="335" t="s">
        <v>79</v>
      </c>
      <c r="C346" s="335"/>
      <c r="D346" s="335"/>
      <c r="E346" s="341">
        <v>0.24</v>
      </c>
      <c r="F346" s="347">
        <f>ROUND(F345*E346,0)</f>
        <v>9792236</v>
      </c>
    </row>
    <row r="347" spans="1:6" x14ac:dyDescent="0.2">
      <c r="A347" s="387"/>
      <c r="B347" s="335" t="s">
        <v>32</v>
      </c>
      <c r="C347" s="335"/>
      <c r="D347" s="335"/>
      <c r="E347" s="341">
        <v>0.05</v>
      </c>
      <c r="F347" s="347">
        <f>ROUND(F345*E347,0)</f>
        <v>2040049</v>
      </c>
    </row>
    <row r="348" spans="1:6" x14ac:dyDescent="0.2">
      <c r="A348" s="387"/>
      <c r="B348" s="335" t="s">
        <v>80</v>
      </c>
      <c r="C348" s="342"/>
      <c r="D348" s="342"/>
      <c r="E348" s="341">
        <v>0.05</v>
      </c>
      <c r="F348" s="347">
        <f>ROUND(F345*E348,0)</f>
        <v>2040049</v>
      </c>
    </row>
    <row r="349" spans="1:6" x14ac:dyDescent="0.2">
      <c r="A349" s="387"/>
      <c r="B349" s="335" t="s">
        <v>81</v>
      </c>
      <c r="C349" s="342"/>
      <c r="D349" s="342"/>
      <c r="E349" s="341"/>
      <c r="F349" s="348">
        <f>ROUND(SUM(F345:F348),0)</f>
        <v>54673317</v>
      </c>
    </row>
    <row r="350" spans="1:6" x14ac:dyDescent="0.2">
      <c r="A350" s="387"/>
      <c r="B350" s="335" t="s">
        <v>82</v>
      </c>
      <c r="C350" s="342"/>
      <c r="D350" s="342"/>
      <c r="E350" s="341">
        <v>0.19</v>
      </c>
      <c r="F350" s="111">
        <f>ROUND(F348*E350,0)</f>
        <v>387609</v>
      </c>
    </row>
    <row r="351" spans="1:6" x14ac:dyDescent="0.2">
      <c r="A351" s="387"/>
      <c r="B351" s="343" t="s">
        <v>83</v>
      </c>
      <c r="C351" s="343"/>
      <c r="D351" s="343"/>
      <c r="E351" s="343"/>
      <c r="F351" s="111">
        <f>ROUND(SUM(F349+F350),0)</f>
        <v>55060926</v>
      </c>
    </row>
    <row r="353" spans="1:6" ht="13.5" thickBot="1" x14ac:dyDescent="0.25"/>
    <row r="354" spans="1:6" ht="34.5" customHeight="1" thickBot="1" x14ac:dyDescent="0.25">
      <c r="A354" s="650" t="s">
        <v>671</v>
      </c>
      <c r="B354" s="651"/>
      <c r="C354" s="651"/>
      <c r="D354" s="651"/>
      <c r="E354" s="651"/>
      <c r="F354" s="652"/>
    </row>
    <row r="355" spans="1:6" x14ac:dyDescent="0.2">
      <c r="A355" s="113" t="s">
        <v>204</v>
      </c>
      <c r="B355" s="113" t="s">
        <v>10</v>
      </c>
      <c r="C355" s="113" t="s">
        <v>174</v>
      </c>
      <c r="D355" s="113" t="s">
        <v>35</v>
      </c>
      <c r="E355" s="113" t="s">
        <v>175</v>
      </c>
      <c r="F355" s="392" t="s">
        <v>176</v>
      </c>
    </row>
    <row r="356" spans="1:6" x14ac:dyDescent="0.2">
      <c r="A356" s="117" t="s">
        <v>177</v>
      </c>
      <c r="B356" s="359" t="s">
        <v>38</v>
      </c>
      <c r="C356" s="117"/>
      <c r="D356" s="360"/>
      <c r="E356" s="361"/>
      <c r="F356" s="361"/>
    </row>
    <row r="357" spans="1:6" ht="25.5" x14ac:dyDescent="0.2">
      <c r="A357" s="117" t="s">
        <v>11</v>
      </c>
      <c r="B357" s="134" t="s">
        <v>359</v>
      </c>
      <c r="C357" s="117" t="s">
        <v>22</v>
      </c>
      <c r="D357" s="360">
        <v>260</v>
      </c>
      <c r="E357" s="361">
        <v>2000</v>
      </c>
      <c r="F357" s="361">
        <f t="shared" ref="F357:F372" si="51">ROUND(D357*E357,0)</f>
        <v>520000</v>
      </c>
    </row>
    <row r="358" spans="1:6" ht="51" x14ac:dyDescent="0.2">
      <c r="A358" s="117" t="s">
        <v>178</v>
      </c>
      <c r="B358" s="362" t="s">
        <v>360</v>
      </c>
      <c r="C358" s="117" t="s">
        <v>179</v>
      </c>
      <c r="D358" s="360">
        <v>314</v>
      </c>
      <c r="E358" s="361">
        <v>6553</v>
      </c>
      <c r="F358" s="361">
        <f t="shared" si="51"/>
        <v>2057642</v>
      </c>
    </row>
    <row r="359" spans="1:6" ht="38.25" x14ac:dyDescent="0.2">
      <c r="A359" s="117" t="s">
        <v>13</v>
      </c>
      <c r="B359" s="134" t="s">
        <v>362</v>
      </c>
      <c r="C359" s="117" t="s">
        <v>45</v>
      </c>
      <c r="D359" s="360">
        <v>1</v>
      </c>
      <c r="E359" s="361">
        <v>704170</v>
      </c>
      <c r="F359" s="361">
        <f t="shared" si="51"/>
        <v>704170</v>
      </c>
    </row>
    <row r="360" spans="1:6" x14ac:dyDescent="0.2">
      <c r="A360" s="117">
        <v>2</v>
      </c>
      <c r="B360" s="359" t="s">
        <v>182</v>
      </c>
      <c r="C360" s="117"/>
      <c r="D360" s="360"/>
      <c r="E360" s="361"/>
      <c r="F360" s="361"/>
    </row>
    <row r="361" spans="1:6" x14ac:dyDescent="0.2">
      <c r="A361" s="117" t="s">
        <v>183</v>
      </c>
      <c r="B361" s="362" t="s">
        <v>211</v>
      </c>
      <c r="C361" s="117" t="s">
        <v>12</v>
      </c>
      <c r="D361" s="360">
        <v>15.66</v>
      </c>
      <c r="E361" s="361">
        <v>134696</v>
      </c>
      <c r="F361" s="361">
        <f t="shared" si="51"/>
        <v>2109339</v>
      </c>
    </row>
    <row r="362" spans="1:6" ht="25.5" x14ac:dyDescent="0.2">
      <c r="A362" s="117" t="s">
        <v>249</v>
      </c>
      <c r="B362" s="134" t="s">
        <v>212</v>
      </c>
      <c r="C362" s="117" t="s">
        <v>12</v>
      </c>
      <c r="D362" s="360">
        <v>1</v>
      </c>
      <c r="E362" s="361">
        <v>101675</v>
      </c>
      <c r="F362" s="361">
        <f t="shared" si="51"/>
        <v>101675</v>
      </c>
    </row>
    <row r="363" spans="1:6" ht="25.5" x14ac:dyDescent="0.2">
      <c r="A363" s="117" t="s">
        <v>251</v>
      </c>
      <c r="B363" s="134" t="s">
        <v>213</v>
      </c>
      <c r="C363" s="117" t="s">
        <v>12</v>
      </c>
      <c r="D363" s="375">
        <v>0.4</v>
      </c>
      <c r="E363" s="361">
        <v>97951</v>
      </c>
      <c r="F363" s="361">
        <f t="shared" si="51"/>
        <v>39180</v>
      </c>
    </row>
    <row r="364" spans="1:6" x14ac:dyDescent="0.2">
      <c r="A364" s="117">
        <v>3</v>
      </c>
      <c r="B364" s="364" t="s">
        <v>184</v>
      </c>
      <c r="C364" s="117"/>
      <c r="D364" s="360"/>
      <c r="E364" s="361"/>
      <c r="F364" s="361"/>
    </row>
    <row r="365" spans="1:6" ht="25.5" x14ac:dyDescent="0.2">
      <c r="A365" s="117" t="s">
        <v>214</v>
      </c>
      <c r="B365" s="362" t="s">
        <v>387</v>
      </c>
      <c r="C365" s="117" t="s">
        <v>12</v>
      </c>
      <c r="D365" s="360">
        <v>100</v>
      </c>
      <c r="E365" s="361">
        <v>27958</v>
      </c>
      <c r="F365" s="361">
        <f t="shared" si="51"/>
        <v>2795800</v>
      </c>
    </row>
    <row r="366" spans="1:6" x14ac:dyDescent="0.2">
      <c r="A366" s="117" t="s">
        <v>267</v>
      </c>
      <c r="B366" s="362" t="s">
        <v>388</v>
      </c>
      <c r="C366" s="117" t="s">
        <v>12</v>
      </c>
      <c r="D366" s="360">
        <v>17.399999999999999</v>
      </c>
      <c r="E366" s="361">
        <v>33239</v>
      </c>
      <c r="F366" s="361">
        <f t="shared" si="51"/>
        <v>578359</v>
      </c>
    </row>
    <row r="367" spans="1:6" x14ac:dyDescent="0.2">
      <c r="A367" s="117" t="s">
        <v>268</v>
      </c>
      <c r="B367" s="362" t="s">
        <v>238</v>
      </c>
      <c r="C367" s="117" t="s">
        <v>22</v>
      </c>
      <c r="D367" s="360">
        <v>250</v>
      </c>
      <c r="E367" s="361">
        <v>13456</v>
      </c>
      <c r="F367" s="361">
        <f t="shared" si="51"/>
        <v>3364000</v>
      </c>
    </row>
    <row r="368" spans="1:6" ht="25.5" x14ac:dyDescent="0.2">
      <c r="A368" s="116" t="s">
        <v>365</v>
      </c>
      <c r="B368" s="364" t="s">
        <v>366</v>
      </c>
      <c r="C368" s="117"/>
      <c r="D368" s="360"/>
      <c r="E368" s="361"/>
      <c r="F368" s="361"/>
    </row>
    <row r="369" spans="1:6" ht="25.5" x14ac:dyDescent="0.2">
      <c r="A369" s="117" t="s">
        <v>186</v>
      </c>
      <c r="B369" s="362" t="s">
        <v>389</v>
      </c>
      <c r="C369" s="117" t="s">
        <v>12</v>
      </c>
      <c r="D369" s="360">
        <v>45.57</v>
      </c>
      <c r="E369" s="361">
        <v>34240</v>
      </c>
      <c r="F369" s="361">
        <f t="shared" si="51"/>
        <v>1560317</v>
      </c>
    </row>
    <row r="370" spans="1:6" x14ac:dyDescent="0.2">
      <c r="A370" s="117">
        <v>5</v>
      </c>
      <c r="B370" s="364" t="s">
        <v>217</v>
      </c>
      <c r="C370" s="117"/>
      <c r="D370" s="360"/>
      <c r="E370" s="361"/>
      <c r="F370" s="361"/>
    </row>
    <row r="371" spans="1:6" ht="38.25" x14ac:dyDescent="0.2">
      <c r="A371" s="117" t="s">
        <v>188</v>
      </c>
      <c r="B371" s="362" t="s">
        <v>390</v>
      </c>
      <c r="C371" s="117" t="s">
        <v>12</v>
      </c>
      <c r="D371" s="360">
        <v>100</v>
      </c>
      <c r="E371" s="361">
        <v>22948</v>
      </c>
      <c r="F371" s="361">
        <f t="shared" si="51"/>
        <v>2294800</v>
      </c>
    </row>
    <row r="372" spans="1:6" ht="25.5" x14ac:dyDescent="0.2">
      <c r="A372" s="117" t="s">
        <v>189</v>
      </c>
      <c r="B372" s="362" t="s">
        <v>369</v>
      </c>
      <c r="C372" s="117" t="s">
        <v>12</v>
      </c>
      <c r="D372" s="360">
        <v>15.33</v>
      </c>
      <c r="E372" s="361">
        <v>132612</v>
      </c>
      <c r="F372" s="361">
        <f t="shared" si="51"/>
        <v>2032942</v>
      </c>
    </row>
    <row r="373" spans="1:6" ht="25.5" x14ac:dyDescent="0.2">
      <c r="A373" s="117">
        <v>6</v>
      </c>
      <c r="B373" s="210" t="s">
        <v>370</v>
      </c>
      <c r="C373" s="117"/>
      <c r="D373" s="360"/>
      <c r="E373" s="361"/>
      <c r="F373" s="361"/>
    </row>
    <row r="374" spans="1:6" ht="38.25" x14ac:dyDescent="0.2">
      <c r="A374" s="117" t="s">
        <v>221</v>
      </c>
      <c r="B374" s="362" t="s">
        <v>391</v>
      </c>
      <c r="C374" s="117" t="s">
        <v>12</v>
      </c>
      <c r="D374" s="360">
        <v>15</v>
      </c>
      <c r="E374" s="361">
        <v>201289</v>
      </c>
      <c r="F374" s="361">
        <f t="shared" ref="F374:F375" si="52">ROUND(D374*E374,0)</f>
        <v>3019335</v>
      </c>
    </row>
    <row r="375" spans="1:6" ht="25.5" x14ac:dyDescent="0.2">
      <c r="A375" s="117" t="s">
        <v>253</v>
      </c>
      <c r="B375" s="362" t="s">
        <v>373</v>
      </c>
      <c r="C375" s="117" t="s">
        <v>12</v>
      </c>
      <c r="D375" s="360">
        <v>11.07</v>
      </c>
      <c r="E375" s="361">
        <v>153039</v>
      </c>
      <c r="F375" s="361">
        <f t="shared" si="52"/>
        <v>1694142</v>
      </c>
    </row>
    <row r="376" spans="1:6" x14ac:dyDescent="0.2">
      <c r="A376" s="113">
        <v>9</v>
      </c>
      <c r="B376" s="379" t="s">
        <v>392</v>
      </c>
      <c r="C376" s="117"/>
      <c r="D376" s="360"/>
      <c r="E376" s="361"/>
      <c r="F376" s="361"/>
    </row>
    <row r="377" spans="1:6" ht="25.5" x14ac:dyDescent="0.2">
      <c r="A377" s="117" t="s">
        <v>243</v>
      </c>
      <c r="B377" s="576" t="s">
        <v>777</v>
      </c>
      <c r="C377" s="117" t="s">
        <v>22</v>
      </c>
      <c r="D377" s="117">
        <v>260</v>
      </c>
      <c r="E377" s="361">
        <v>5052</v>
      </c>
      <c r="F377" s="361">
        <f t="shared" ref="F377:F383" si="53">ROUND(D377*E377,0)</f>
        <v>1313520</v>
      </c>
    </row>
    <row r="378" spans="1:6" ht="25.5" x14ac:dyDescent="0.2">
      <c r="A378" s="117" t="s">
        <v>393</v>
      </c>
      <c r="B378" s="134" t="s">
        <v>672</v>
      </c>
      <c r="C378" s="117" t="s">
        <v>22</v>
      </c>
      <c r="D378" s="117">
        <v>12</v>
      </c>
      <c r="E378" s="361">
        <v>65975</v>
      </c>
      <c r="F378" s="361">
        <f t="shared" si="53"/>
        <v>791700</v>
      </c>
    </row>
    <row r="379" spans="1:6" ht="76.5" x14ac:dyDescent="0.2">
      <c r="A379" s="117" t="s">
        <v>394</v>
      </c>
      <c r="B379" s="134" t="s">
        <v>673</v>
      </c>
      <c r="C379" s="117" t="s">
        <v>60</v>
      </c>
      <c r="D379" s="117">
        <v>20</v>
      </c>
      <c r="E379" s="361">
        <v>65938</v>
      </c>
      <c r="F379" s="361">
        <f t="shared" si="53"/>
        <v>1318760</v>
      </c>
    </row>
    <row r="380" spans="1:6" x14ac:dyDescent="0.2">
      <c r="A380" s="117" t="s">
        <v>395</v>
      </c>
      <c r="B380" s="134" t="s">
        <v>674</v>
      </c>
      <c r="C380" s="117" t="s">
        <v>60</v>
      </c>
      <c r="D380" s="117">
        <v>1</v>
      </c>
      <c r="E380" s="361">
        <v>65000</v>
      </c>
      <c r="F380" s="361">
        <f t="shared" si="53"/>
        <v>65000</v>
      </c>
    </row>
    <row r="381" spans="1:6" ht="63.75" x14ac:dyDescent="0.2">
      <c r="A381" s="117" t="s">
        <v>397</v>
      </c>
      <c r="B381" s="134" t="s">
        <v>396</v>
      </c>
      <c r="C381" s="117" t="s">
        <v>45</v>
      </c>
      <c r="D381" s="117">
        <v>2</v>
      </c>
      <c r="E381" s="361">
        <v>417018</v>
      </c>
      <c r="F381" s="361">
        <f t="shared" si="53"/>
        <v>834036</v>
      </c>
    </row>
    <row r="382" spans="1:6" x14ac:dyDescent="0.2">
      <c r="A382" s="117" t="s">
        <v>675</v>
      </c>
      <c r="B382" s="134" t="s">
        <v>398</v>
      </c>
      <c r="C382" s="117" t="s">
        <v>60</v>
      </c>
      <c r="D382" s="117">
        <v>2</v>
      </c>
      <c r="E382" s="361">
        <v>104601</v>
      </c>
      <c r="F382" s="361">
        <f t="shared" si="53"/>
        <v>209202</v>
      </c>
    </row>
    <row r="383" spans="1:6" x14ac:dyDescent="0.2">
      <c r="A383" s="117" t="s">
        <v>761</v>
      </c>
      <c r="B383" s="134" t="s">
        <v>676</v>
      </c>
      <c r="C383" s="117" t="s">
        <v>12</v>
      </c>
      <c r="D383" s="117">
        <v>10</v>
      </c>
      <c r="E383" s="361">
        <v>724782</v>
      </c>
      <c r="F383" s="361">
        <f t="shared" si="53"/>
        <v>7247820</v>
      </c>
    </row>
    <row r="384" spans="1:6" x14ac:dyDescent="0.2">
      <c r="A384" s="113">
        <v>10</v>
      </c>
      <c r="B384" s="380" t="s">
        <v>242</v>
      </c>
      <c r="C384" s="117"/>
      <c r="D384" s="360"/>
      <c r="E384" s="361"/>
      <c r="F384" s="361"/>
    </row>
    <row r="385" spans="1:6" ht="38.25" x14ac:dyDescent="0.2">
      <c r="A385" s="117" t="s">
        <v>324</v>
      </c>
      <c r="B385" s="378" t="s">
        <v>383</v>
      </c>
      <c r="C385" s="117" t="s">
        <v>206</v>
      </c>
      <c r="D385" s="360">
        <v>1.25</v>
      </c>
      <c r="E385" s="361">
        <v>1503286</v>
      </c>
      <c r="F385" s="361">
        <f t="shared" ref="F385" si="54">ROUND(D385*E385,0)</f>
        <v>1879108</v>
      </c>
    </row>
    <row r="386" spans="1:6" x14ac:dyDescent="0.2">
      <c r="A386" s="393"/>
      <c r="B386" s="394" t="s">
        <v>30</v>
      </c>
      <c r="C386" s="395"/>
      <c r="D386" s="368"/>
      <c r="E386" s="396"/>
      <c r="F386" s="125">
        <f>ROUND(SUM(F357:F385),0)</f>
        <v>36530847</v>
      </c>
    </row>
    <row r="387" spans="1:6" x14ac:dyDescent="0.2">
      <c r="A387" s="136"/>
      <c r="B387" s="397"/>
      <c r="C387" s="368"/>
      <c r="D387" s="368"/>
      <c r="E387" s="369"/>
      <c r="F387" s="398"/>
    </row>
    <row r="388" spans="1:6" x14ac:dyDescent="0.2">
      <c r="A388" s="393"/>
      <c r="B388" s="335" t="s">
        <v>77</v>
      </c>
      <c r="C388" s="336"/>
      <c r="D388" s="336"/>
      <c r="E388" s="336"/>
      <c r="F388" s="336"/>
    </row>
    <row r="389" spans="1:6" x14ac:dyDescent="0.2">
      <c r="A389" s="393"/>
      <c r="B389" s="335" t="s">
        <v>78</v>
      </c>
      <c r="C389" s="336"/>
      <c r="D389" s="336"/>
      <c r="E389" s="336"/>
      <c r="F389" s="347">
        <f>ROUND(F386/1.3495,0)</f>
        <v>27069913</v>
      </c>
    </row>
    <row r="390" spans="1:6" x14ac:dyDescent="0.2">
      <c r="A390" s="393"/>
      <c r="B390" s="335" t="s">
        <v>79</v>
      </c>
      <c r="C390" s="336"/>
      <c r="D390" s="336"/>
      <c r="E390" s="338">
        <v>0.24</v>
      </c>
      <c r="F390" s="347">
        <f>ROUND(F389*E390,0)</f>
        <v>6496779</v>
      </c>
    </row>
    <row r="391" spans="1:6" x14ac:dyDescent="0.2">
      <c r="A391" s="136"/>
      <c r="B391" s="335" t="s">
        <v>32</v>
      </c>
      <c r="C391" s="336"/>
      <c r="D391" s="336"/>
      <c r="E391" s="338">
        <v>0.05</v>
      </c>
      <c r="F391" s="347">
        <f>ROUND(F389*E391,0)</f>
        <v>1353496</v>
      </c>
    </row>
    <row r="392" spans="1:6" x14ac:dyDescent="0.2">
      <c r="A392" s="393"/>
      <c r="B392" s="335" t="s">
        <v>80</v>
      </c>
      <c r="C392" s="339"/>
      <c r="D392" s="339"/>
      <c r="E392" s="338">
        <v>0.05</v>
      </c>
      <c r="F392" s="347">
        <f>ROUND(F389*E392,0)</f>
        <v>1353496</v>
      </c>
    </row>
    <row r="393" spans="1:6" x14ac:dyDescent="0.2">
      <c r="A393" s="399"/>
      <c r="B393" s="335" t="s">
        <v>81</v>
      </c>
      <c r="C393" s="339"/>
      <c r="D393" s="339"/>
      <c r="E393" s="338"/>
      <c r="F393" s="348">
        <f>ROUND(SUM(F389:F392),0)</f>
        <v>36273684</v>
      </c>
    </row>
    <row r="394" spans="1:6" x14ac:dyDescent="0.2">
      <c r="A394" s="136"/>
      <c r="B394" s="335" t="s">
        <v>82</v>
      </c>
      <c r="C394" s="339"/>
      <c r="D394" s="339"/>
      <c r="E394" s="338">
        <v>0.19</v>
      </c>
      <c r="F394" s="111">
        <f>ROUND(F392*E394,0)</f>
        <v>257164</v>
      </c>
    </row>
    <row r="395" spans="1:6" x14ac:dyDescent="0.2">
      <c r="B395" s="340" t="s">
        <v>83</v>
      </c>
      <c r="C395" s="340"/>
      <c r="D395" s="340"/>
      <c r="E395" s="340"/>
      <c r="F395" s="111">
        <f>ROUND(SUM(F393+F394),0)</f>
        <v>36530848</v>
      </c>
    </row>
    <row r="397" spans="1:6" ht="13.5" thickBot="1" x14ac:dyDescent="0.25"/>
    <row r="398" spans="1:6" ht="27.75" customHeight="1" thickBot="1" x14ac:dyDescent="0.25">
      <c r="A398" s="650" t="s">
        <v>580</v>
      </c>
      <c r="B398" s="651"/>
      <c r="C398" s="651"/>
      <c r="D398" s="651"/>
      <c r="E398" s="651"/>
      <c r="F398" s="652"/>
    </row>
    <row r="399" spans="1:6" x14ac:dyDescent="0.2">
      <c r="A399" s="385" t="s">
        <v>204</v>
      </c>
      <c r="B399" s="385" t="s">
        <v>10</v>
      </c>
      <c r="C399" s="385" t="s">
        <v>174</v>
      </c>
      <c r="D399" s="385" t="s">
        <v>35</v>
      </c>
      <c r="E399" s="385" t="s">
        <v>175</v>
      </c>
      <c r="F399" s="385" t="s">
        <v>176</v>
      </c>
    </row>
    <row r="400" spans="1:6" x14ac:dyDescent="0.2">
      <c r="A400" s="116" t="s">
        <v>177</v>
      </c>
      <c r="B400" s="126" t="s">
        <v>38</v>
      </c>
      <c r="C400" s="126"/>
      <c r="D400" s="126"/>
      <c r="E400" s="126"/>
      <c r="F400" s="126"/>
    </row>
    <row r="401" spans="1:6" ht="38.25" x14ac:dyDescent="0.2">
      <c r="A401" s="116" t="s">
        <v>11</v>
      </c>
      <c r="B401" s="134" t="s">
        <v>581</v>
      </c>
      <c r="C401" s="126" t="s">
        <v>179</v>
      </c>
      <c r="D401" s="126">
        <v>294.32</v>
      </c>
      <c r="E401" s="400">
        <v>7073</v>
      </c>
      <c r="F401" s="400">
        <f>ROUND(D401*E401,0)</f>
        <v>2081725</v>
      </c>
    </row>
    <row r="402" spans="1:6" ht="51" x14ac:dyDescent="0.2">
      <c r="A402" s="116" t="s">
        <v>178</v>
      </c>
      <c r="B402" s="363" t="s">
        <v>582</v>
      </c>
      <c r="C402" s="126" t="s">
        <v>179</v>
      </c>
      <c r="D402" s="126">
        <v>303.24</v>
      </c>
      <c r="E402" s="400">
        <v>11728</v>
      </c>
      <c r="F402" s="400">
        <f t="shared" ref="F402:F446" si="55">ROUND(D402*E402,0)</f>
        <v>3556399</v>
      </c>
    </row>
    <row r="403" spans="1:6" ht="51" x14ac:dyDescent="0.2">
      <c r="A403" s="116" t="s">
        <v>13</v>
      </c>
      <c r="B403" s="121" t="s">
        <v>583</v>
      </c>
      <c r="C403" s="126" t="s">
        <v>45</v>
      </c>
      <c r="D403" s="126">
        <v>1</v>
      </c>
      <c r="E403" s="400">
        <v>704170</v>
      </c>
      <c r="F403" s="400">
        <f t="shared" si="55"/>
        <v>704170</v>
      </c>
    </row>
    <row r="404" spans="1:6" ht="38.25" x14ac:dyDescent="0.2">
      <c r="A404" s="116" t="s">
        <v>180</v>
      </c>
      <c r="B404" s="121" t="s">
        <v>661</v>
      </c>
      <c r="C404" s="126" t="s">
        <v>45</v>
      </c>
      <c r="D404" s="126">
        <v>4</v>
      </c>
      <c r="E404" s="400">
        <v>225619</v>
      </c>
      <c r="F404" s="400">
        <f t="shared" si="55"/>
        <v>902476</v>
      </c>
    </row>
    <row r="405" spans="1:6" x14ac:dyDescent="0.2">
      <c r="A405" s="116">
        <v>2</v>
      </c>
      <c r="B405" s="126" t="s">
        <v>182</v>
      </c>
      <c r="C405" s="126"/>
      <c r="D405" s="126"/>
      <c r="E405" s="126"/>
      <c r="F405" s="400" t="s">
        <v>0</v>
      </c>
    </row>
    <row r="406" spans="1:6" x14ac:dyDescent="0.2">
      <c r="A406" s="116" t="s">
        <v>183</v>
      </c>
      <c r="B406" s="126" t="s">
        <v>211</v>
      </c>
      <c r="C406" s="126" t="s">
        <v>12</v>
      </c>
      <c r="D406" s="126">
        <v>1.18</v>
      </c>
      <c r="E406" s="400">
        <v>133609</v>
      </c>
      <c r="F406" s="400">
        <f t="shared" si="55"/>
        <v>157659</v>
      </c>
    </row>
    <row r="407" spans="1:6" ht="25.5" x14ac:dyDescent="0.2">
      <c r="A407" s="116" t="s">
        <v>249</v>
      </c>
      <c r="B407" s="362" t="s">
        <v>584</v>
      </c>
      <c r="C407" s="126" t="s">
        <v>12</v>
      </c>
      <c r="D407" s="126">
        <v>1.67</v>
      </c>
      <c r="E407" s="400">
        <v>108219</v>
      </c>
      <c r="F407" s="400">
        <f t="shared" si="55"/>
        <v>180726</v>
      </c>
    </row>
    <row r="408" spans="1:6" ht="25.5" x14ac:dyDescent="0.2">
      <c r="A408" s="116" t="s">
        <v>251</v>
      </c>
      <c r="B408" s="134" t="s">
        <v>213</v>
      </c>
      <c r="C408" s="126" t="s">
        <v>12</v>
      </c>
      <c r="D408" s="126">
        <v>1.5</v>
      </c>
      <c r="E408" s="400">
        <v>99909</v>
      </c>
      <c r="F408" s="400">
        <f t="shared" si="55"/>
        <v>149864</v>
      </c>
    </row>
    <row r="409" spans="1:6" x14ac:dyDescent="0.2">
      <c r="A409" s="116" t="s">
        <v>262</v>
      </c>
      <c r="B409" s="126" t="s">
        <v>585</v>
      </c>
      <c r="C409" s="126" t="s">
        <v>12</v>
      </c>
      <c r="D409" s="126">
        <v>41.64</v>
      </c>
      <c r="E409" s="400">
        <v>104644</v>
      </c>
      <c r="F409" s="400">
        <f t="shared" si="55"/>
        <v>4357376</v>
      </c>
    </row>
    <row r="410" spans="1:6" x14ac:dyDescent="0.2">
      <c r="A410" s="116">
        <v>3</v>
      </c>
      <c r="B410" s="126" t="s">
        <v>209</v>
      </c>
      <c r="C410" s="126"/>
      <c r="D410" s="126"/>
      <c r="E410" s="126"/>
      <c r="F410" s="400" t="s">
        <v>0</v>
      </c>
    </row>
    <row r="411" spans="1:6" ht="25.5" x14ac:dyDescent="0.2">
      <c r="A411" s="116" t="s">
        <v>214</v>
      </c>
      <c r="B411" s="362" t="s">
        <v>185</v>
      </c>
      <c r="C411" s="126" t="s">
        <v>12</v>
      </c>
      <c r="D411" s="126">
        <v>288.76</v>
      </c>
      <c r="E411" s="400">
        <v>34043</v>
      </c>
      <c r="F411" s="400">
        <f t="shared" si="55"/>
        <v>9830257</v>
      </c>
    </row>
    <row r="412" spans="1:6" x14ac:dyDescent="0.2">
      <c r="A412" s="116">
        <v>4</v>
      </c>
      <c r="B412" s="126" t="s">
        <v>184</v>
      </c>
      <c r="C412" s="126"/>
      <c r="D412" s="126"/>
      <c r="E412" s="126"/>
      <c r="F412" s="400" t="s">
        <v>0</v>
      </c>
    </row>
    <row r="413" spans="1:6" ht="25.5" x14ac:dyDescent="0.2">
      <c r="A413" s="116" t="s">
        <v>186</v>
      </c>
      <c r="B413" s="362" t="s">
        <v>215</v>
      </c>
      <c r="C413" s="126" t="s">
        <v>12</v>
      </c>
      <c r="D413" s="126">
        <v>527.80999999999995</v>
      </c>
      <c r="E413" s="400">
        <v>28516</v>
      </c>
      <c r="F413" s="400">
        <f t="shared" si="55"/>
        <v>15051030</v>
      </c>
    </row>
    <row r="414" spans="1:6" ht="25.5" x14ac:dyDescent="0.2">
      <c r="A414" s="116">
        <v>4.2</v>
      </c>
      <c r="B414" s="362" t="s">
        <v>586</v>
      </c>
      <c r="C414" s="126" t="s">
        <v>12</v>
      </c>
      <c r="D414" s="126">
        <v>69.400000000000006</v>
      </c>
      <c r="E414" s="400">
        <v>33902</v>
      </c>
      <c r="F414" s="400">
        <f t="shared" si="55"/>
        <v>2352799</v>
      </c>
    </row>
    <row r="415" spans="1:6" x14ac:dyDescent="0.2">
      <c r="A415" s="116">
        <v>4.3</v>
      </c>
      <c r="B415" s="126" t="s">
        <v>216</v>
      </c>
      <c r="C415" s="126" t="s">
        <v>22</v>
      </c>
      <c r="D415" s="126">
        <v>144.32</v>
      </c>
      <c r="E415" s="400">
        <v>32873</v>
      </c>
      <c r="F415" s="400">
        <f t="shared" si="55"/>
        <v>4744231</v>
      </c>
    </row>
    <row r="416" spans="1:6" x14ac:dyDescent="0.2">
      <c r="A416" s="116">
        <v>5</v>
      </c>
      <c r="B416" s="126" t="s">
        <v>217</v>
      </c>
      <c r="C416" s="126"/>
      <c r="D416" s="126"/>
      <c r="E416" s="126"/>
      <c r="F416" s="400" t="s">
        <v>0</v>
      </c>
    </row>
    <row r="417" spans="1:6" ht="25.5" x14ac:dyDescent="0.2">
      <c r="A417" s="116" t="s">
        <v>188</v>
      </c>
      <c r="B417" s="134" t="s">
        <v>218</v>
      </c>
      <c r="C417" s="126" t="s">
        <v>12</v>
      </c>
      <c r="D417" s="126">
        <v>312.79000000000002</v>
      </c>
      <c r="E417" s="400">
        <v>23409</v>
      </c>
      <c r="F417" s="400">
        <f t="shared" si="55"/>
        <v>7322101</v>
      </c>
    </row>
    <row r="418" spans="1:6" ht="25.5" x14ac:dyDescent="0.2">
      <c r="A418" s="116" t="s">
        <v>189</v>
      </c>
      <c r="B418" s="134" t="s">
        <v>219</v>
      </c>
      <c r="C418" s="126" t="s">
        <v>12</v>
      </c>
      <c r="D418" s="126">
        <v>69.400000000000006</v>
      </c>
      <c r="E418" s="400">
        <v>100531</v>
      </c>
      <c r="F418" s="400">
        <f t="shared" si="55"/>
        <v>6976851</v>
      </c>
    </row>
    <row r="419" spans="1:6" ht="25.5" x14ac:dyDescent="0.2">
      <c r="A419" s="116">
        <v>6</v>
      </c>
      <c r="B419" s="362" t="s">
        <v>220</v>
      </c>
      <c r="C419" s="126"/>
      <c r="D419" s="126"/>
      <c r="E419" s="126"/>
      <c r="F419" s="400" t="s">
        <v>0</v>
      </c>
    </row>
    <row r="420" spans="1:6" ht="25.5" x14ac:dyDescent="0.2">
      <c r="A420" s="116" t="s">
        <v>221</v>
      </c>
      <c r="B420" s="362" t="s">
        <v>587</v>
      </c>
      <c r="C420" s="126" t="s">
        <v>12</v>
      </c>
      <c r="D420" s="126">
        <v>1.47</v>
      </c>
      <c r="E420" s="400">
        <v>93901</v>
      </c>
      <c r="F420" s="400">
        <f t="shared" si="55"/>
        <v>138034</v>
      </c>
    </row>
    <row r="421" spans="1:6" ht="25.5" x14ac:dyDescent="0.2">
      <c r="A421" s="116">
        <v>6.2</v>
      </c>
      <c r="B421" s="134" t="s">
        <v>588</v>
      </c>
      <c r="C421" s="126" t="s">
        <v>12</v>
      </c>
      <c r="D421" s="126">
        <v>55.52</v>
      </c>
      <c r="E421" s="400">
        <v>179475</v>
      </c>
      <c r="F421" s="400">
        <f t="shared" si="55"/>
        <v>9964452</v>
      </c>
    </row>
    <row r="422" spans="1:6" ht="25.5" x14ac:dyDescent="0.2">
      <c r="A422" s="116" t="s">
        <v>254</v>
      </c>
      <c r="B422" s="363" t="s">
        <v>245</v>
      </c>
      <c r="C422" s="126" t="s">
        <v>12</v>
      </c>
      <c r="D422" s="126">
        <v>116.38</v>
      </c>
      <c r="E422" s="400">
        <v>95245</v>
      </c>
      <c r="F422" s="400">
        <f t="shared" si="55"/>
        <v>11084613</v>
      </c>
    </row>
    <row r="423" spans="1:6" x14ac:dyDescent="0.2">
      <c r="A423" s="116">
        <v>7</v>
      </c>
      <c r="B423" s="126" t="s">
        <v>222</v>
      </c>
      <c r="C423" s="126"/>
      <c r="D423" s="126"/>
      <c r="E423" s="126"/>
      <c r="F423" s="400" t="s">
        <v>0</v>
      </c>
    </row>
    <row r="424" spans="1:6" ht="38.25" x14ac:dyDescent="0.2">
      <c r="A424" s="116" t="s">
        <v>223</v>
      </c>
      <c r="B424" s="134" t="s">
        <v>589</v>
      </c>
      <c r="C424" s="126" t="s">
        <v>22</v>
      </c>
      <c r="D424" s="126">
        <v>150</v>
      </c>
      <c r="E424" s="400">
        <v>13003</v>
      </c>
      <c r="F424" s="400">
        <f t="shared" si="55"/>
        <v>1950450</v>
      </c>
    </row>
    <row r="425" spans="1:6" ht="38.25" x14ac:dyDescent="0.2">
      <c r="A425" s="116">
        <v>7.2</v>
      </c>
      <c r="B425" s="134" t="s">
        <v>590</v>
      </c>
      <c r="C425" s="126" t="s">
        <v>22</v>
      </c>
      <c r="D425" s="126">
        <v>144.32</v>
      </c>
      <c r="E425" s="400">
        <v>52010</v>
      </c>
      <c r="F425" s="400">
        <f t="shared" si="55"/>
        <v>7506083</v>
      </c>
    </row>
    <row r="426" spans="1:6" ht="38.25" x14ac:dyDescent="0.2">
      <c r="A426" s="116">
        <v>7.3</v>
      </c>
      <c r="B426" s="134" t="s">
        <v>591</v>
      </c>
      <c r="C426" s="126" t="s">
        <v>22</v>
      </c>
      <c r="D426" s="126">
        <v>48</v>
      </c>
      <c r="E426" s="400">
        <v>26005</v>
      </c>
      <c r="F426" s="400">
        <f t="shared" si="55"/>
        <v>1248240</v>
      </c>
    </row>
    <row r="427" spans="1:6" x14ac:dyDescent="0.2">
      <c r="A427" s="116" t="s">
        <v>224</v>
      </c>
      <c r="B427" s="126" t="s">
        <v>246</v>
      </c>
      <c r="C427" s="134" t="s">
        <v>60</v>
      </c>
      <c r="D427" s="126">
        <v>12</v>
      </c>
      <c r="E427" s="400">
        <v>104977</v>
      </c>
      <c r="F427" s="400">
        <f t="shared" si="55"/>
        <v>1259724</v>
      </c>
    </row>
    <row r="428" spans="1:6" ht="25.5" x14ac:dyDescent="0.2">
      <c r="A428" s="116" t="s">
        <v>225</v>
      </c>
      <c r="B428" s="362" t="s">
        <v>228</v>
      </c>
      <c r="C428" s="126" t="s">
        <v>60</v>
      </c>
      <c r="D428" s="126">
        <v>3</v>
      </c>
      <c r="E428" s="400">
        <v>598746</v>
      </c>
      <c r="F428" s="400">
        <f t="shared" si="55"/>
        <v>1796238</v>
      </c>
    </row>
    <row r="429" spans="1:6" x14ac:dyDescent="0.2">
      <c r="A429" s="116" t="s">
        <v>227</v>
      </c>
      <c r="B429" s="126" t="s">
        <v>260</v>
      </c>
      <c r="C429" s="126" t="s">
        <v>60</v>
      </c>
      <c r="D429" s="126">
        <v>15</v>
      </c>
      <c r="E429" s="400">
        <v>59782</v>
      </c>
      <c r="F429" s="400">
        <f t="shared" si="55"/>
        <v>896730</v>
      </c>
    </row>
    <row r="430" spans="1:6" ht="25.5" x14ac:dyDescent="0.2">
      <c r="A430" s="116" t="s">
        <v>229</v>
      </c>
      <c r="B430" s="362" t="s">
        <v>230</v>
      </c>
      <c r="C430" s="126" t="s">
        <v>60</v>
      </c>
      <c r="D430" s="126">
        <v>3</v>
      </c>
      <c r="E430" s="400">
        <v>543900</v>
      </c>
      <c r="F430" s="400">
        <f t="shared" si="55"/>
        <v>1631700</v>
      </c>
    </row>
    <row r="431" spans="1:6" ht="38.25" x14ac:dyDescent="0.2">
      <c r="A431" s="116" t="s">
        <v>231</v>
      </c>
      <c r="B431" s="134" t="s">
        <v>592</v>
      </c>
      <c r="C431" s="126" t="s">
        <v>45</v>
      </c>
      <c r="D431" s="126">
        <v>30</v>
      </c>
      <c r="E431" s="400">
        <v>399517</v>
      </c>
      <c r="F431" s="400">
        <f t="shared" si="55"/>
        <v>11985510</v>
      </c>
    </row>
    <row r="432" spans="1:6" ht="51" x14ac:dyDescent="0.2">
      <c r="A432" s="116" t="s">
        <v>233</v>
      </c>
      <c r="B432" s="134" t="s">
        <v>404</v>
      </c>
      <c r="C432" s="126" t="s">
        <v>60</v>
      </c>
      <c r="D432" s="126">
        <v>8</v>
      </c>
      <c r="E432" s="400">
        <v>1771157</v>
      </c>
      <c r="F432" s="400">
        <f t="shared" si="55"/>
        <v>14169256</v>
      </c>
    </row>
    <row r="433" spans="1:6" ht="51" x14ac:dyDescent="0.2">
      <c r="A433" s="116" t="s">
        <v>234</v>
      </c>
      <c r="B433" s="134" t="s">
        <v>593</v>
      </c>
      <c r="C433" s="126" t="s">
        <v>60</v>
      </c>
      <c r="D433" s="126">
        <v>3</v>
      </c>
      <c r="E433" s="400">
        <v>736169</v>
      </c>
      <c r="F433" s="400">
        <f t="shared" si="55"/>
        <v>2208507</v>
      </c>
    </row>
    <row r="434" spans="1:6" x14ac:dyDescent="0.2">
      <c r="A434" s="116" t="s">
        <v>247</v>
      </c>
      <c r="B434" s="126" t="s">
        <v>594</v>
      </c>
      <c r="C434" s="126" t="s">
        <v>60</v>
      </c>
      <c r="D434" s="126">
        <v>30</v>
      </c>
      <c r="E434" s="400">
        <v>64901</v>
      </c>
      <c r="F434" s="400">
        <f t="shared" si="55"/>
        <v>1947030</v>
      </c>
    </row>
    <row r="435" spans="1:6" x14ac:dyDescent="0.2">
      <c r="A435" s="116">
        <v>8</v>
      </c>
      <c r="B435" s="126" t="s">
        <v>392</v>
      </c>
      <c r="C435" s="126"/>
      <c r="D435" s="126"/>
      <c r="E435" s="126"/>
      <c r="F435" s="400" t="s">
        <v>0</v>
      </c>
    </row>
    <row r="436" spans="1:6" ht="25.5" x14ac:dyDescent="0.2">
      <c r="A436" s="116" t="s">
        <v>237</v>
      </c>
      <c r="B436" s="134" t="s">
        <v>595</v>
      </c>
      <c r="C436" s="126" t="s">
        <v>22</v>
      </c>
      <c r="D436" s="126">
        <v>144.32</v>
      </c>
      <c r="E436" s="400">
        <v>6648</v>
      </c>
      <c r="F436" s="400">
        <f t="shared" si="55"/>
        <v>959439</v>
      </c>
    </row>
    <row r="437" spans="1:6" ht="25.5" x14ac:dyDescent="0.2">
      <c r="A437" s="116" t="s">
        <v>239</v>
      </c>
      <c r="B437" s="121" t="s">
        <v>596</v>
      </c>
      <c r="C437" s="126" t="s">
        <v>45</v>
      </c>
      <c r="D437" s="126">
        <v>1</v>
      </c>
      <c r="E437" s="400">
        <v>320504</v>
      </c>
      <c r="F437" s="400">
        <f t="shared" si="55"/>
        <v>320504</v>
      </c>
    </row>
    <row r="438" spans="1:6" ht="25.5" x14ac:dyDescent="0.2">
      <c r="A438" s="116" t="s">
        <v>240</v>
      </c>
      <c r="B438" s="134" t="s">
        <v>597</v>
      </c>
      <c r="C438" s="126" t="s">
        <v>45</v>
      </c>
      <c r="D438" s="126">
        <v>2</v>
      </c>
      <c r="E438" s="400">
        <v>156767</v>
      </c>
      <c r="F438" s="400">
        <f t="shared" si="55"/>
        <v>313534</v>
      </c>
    </row>
    <row r="439" spans="1:6" ht="51" x14ac:dyDescent="0.2">
      <c r="A439" s="116" t="s">
        <v>248</v>
      </c>
      <c r="B439" s="134" t="s">
        <v>598</v>
      </c>
      <c r="C439" s="126" t="s">
        <v>45</v>
      </c>
      <c r="D439" s="126">
        <v>2</v>
      </c>
      <c r="E439" s="400">
        <v>605444</v>
      </c>
      <c r="F439" s="400">
        <f t="shared" si="55"/>
        <v>1210888</v>
      </c>
    </row>
    <row r="440" spans="1:6" ht="63.75" x14ac:dyDescent="0.2">
      <c r="A440" s="116" t="s">
        <v>326</v>
      </c>
      <c r="B440" s="134" t="s">
        <v>599</v>
      </c>
      <c r="C440" s="126" t="s">
        <v>45</v>
      </c>
      <c r="D440" s="126">
        <v>30</v>
      </c>
      <c r="E440" s="400">
        <v>65937</v>
      </c>
      <c r="F440" s="400">
        <f t="shared" si="55"/>
        <v>1978110</v>
      </c>
    </row>
    <row r="441" spans="1:6" x14ac:dyDescent="0.2">
      <c r="A441" s="116" t="s">
        <v>327</v>
      </c>
      <c r="B441" s="134" t="s">
        <v>600</v>
      </c>
      <c r="C441" s="126" t="s">
        <v>60</v>
      </c>
      <c r="D441" s="126">
        <v>3</v>
      </c>
      <c r="E441" s="400">
        <v>206272</v>
      </c>
      <c r="F441" s="400">
        <f t="shared" si="55"/>
        <v>618816</v>
      </c>
    </row>
    <row r="442" spans="1:6" x14ac:dyDescent="0.2">
      <c r="A442" s="116">
        <v>9</v>
      </c>
      <c r="B442" s="126" t="s">
        <v>236</v>
      </c>
      <c r="C442" s="126"/>
      <c r="D442" s="126"/>
      <c r="E442" s="126"/>
      <c r="F442" s="400" t="s">
        <v>0</v>
      </c>
    </row>
    <row r="443" spans="1:6" x14ac:dyDescent="0.2">
      <c r="A443" s="116" t="s">
        <v>243</v>
      </c>
      <c r="B443" s="126" t="s">
        <v>238</v>
      </c>
      <c r="C443" s="126" t="s">
        <v>22</v>
      </c>
      <c r="D443" s="126">
        <v>588.64</v>
      </c>
      <c r="E443" s="400">
        <v>12721</v>
      </c>
      <c r="F443" s="400">
        <f t="shared" si="55"/>
        <v>7488089</v>
      </c>
    </row>
    <row r="444" spans="1:6" ht="25.5" x14ac:dyDescent="0.2">
      <c r="A444" s="116" t="s">
        <v>394</v>
      </c>
      <c r="B444" s="134" t="s">
        <v>257</v>
      </c>
      <c r="C444" s="126" t="s">
        <v>12</v>
      </c>
      <c r="D444" s="126">
        <v>1.5</v>
      </c>
      <c r="E444" s="400">
        <v>698748</v>
      </c>
      <c r="F444" s="400">
        <f t="shared" si="55"/>
        <v>1048122</v>
      </c>
    </row>
    <row r="445" spans="1:6" x14ac:dyDescent="0.2">
      <c r="A445" s="116">
        <v>10</v>
      </c>
      <c r="B445" s="126" t="s">
        <v>405</v>
      </c>
      <c r="C445" s="126"/>
      <c r="D445" s="126"/>
      <c r="E445" s="126"/>
      <c r="F445" s="400" t="s">
        <v>0</v>
      </c>
    </row>
    <row r="446" spans="1:6" ht="38.25" x14ac:dyDescent="0.2">
      <c r="A446" s="116" t="s">
        <v>324</v>
      </c>
      <c r="B446" s="134" t="s">
        <v>258</v>
      </c>
      <c r="C446" s="126" t="s">
        <v>206</v>
      </c>
      <c r="D446" s="126">
        <v>1.25</v>
      </c>
      <c r="E446" s="400">
        <v>1503286</v>
      </c>
      <c r="F446" s="400">
        <f t="shared" si="55"/>
        <v>1879108</v>
      </c>
    </row>
    <row r="447" spans="1:6" x14ac:dyDescent="0.2">
      <c r="A447" s="116"/>
      <c r="B447" s="126"/>
      <c r="C447" s="126"/>
      <c r="D447" s="126"/>
      <c r="E447" s="126"/>
      <c r="F447" s="126"/>
    </row>
    <row r="448" spans="1:6" x14ac:dyDescent="0.2">
      <c r="A448" s="116"/>
      <c r="B448" s="359" t="s">
        <v>30</v>
      </c>
      <c r="C448" s="126"/>
      <c r="D448" s="126"/>
      <c r="E448" s="126"/>
      <c r="F448" s="125">
        <f>ROUND(SUM(F401:F447),0)</f>
        <v>141970841</v>
      </c>
    </row>
    <row r="449" spans="1:6" x14ac:dyDescent="0.2">
      <c r="A449" s="116"/>
      <c r="B449" s="335" t="s">
        <v>77</v>
      </c>
      <c r="C449" s="336"/>
      <c r="D449" s="336"/>
      <c r="E449" s="336"/>
      <c r="F449" s="336"/>
    </row>
    <row r="450" spans="1:6" x14ac:dyDescent="0.2">
      <c r="A450" s="116"/>
      <c r="B450" s="335" t="s">
        <v>78</v>
      </c>
      <c r="C450" s="336"/>
      <c r="D450" s="336"/>
      <c r="E450" s="336"/>
      <c r="F450" s="347">
        <f>ROUND(F448/1.3495,0)</f>
        <v>105202550</v>
      </c>
    </row>
    <row r="451" spans="1:6" x14ac:dyDescent="0.2">
      <c r="A451" s="116"/>
      <c r="B451" s="335" t="s">
        <v>79</v>
      </c>
      <c r="C451" s="336"/>
      <c r="D451" s="336"/>
      <c r="E451" s="338">
        <v>0.24</v>
      </c>
      <c r="F451" s="337">
        <f>F450*E451</f>
        <v>25248612</v>
      </c>
    </row>
    <row r="452" spans="1:6" x14ac:dyDescent="0.2">
      <c r="A452" s="116"/>
      <c r="B452" s="335" t="s">
        <v>32</v>
      </c>
      <c r="C452" s="336"/>
      <c r="D452" s="336"/>
      <c r="E452" s="338">
        <v>0.05</v>
      </c>
      <c r="F452" s="337">
        <f>F450*E452</f>
        <v>5260127.5</v>
      </c>
    </row>
    <row r="453" spans="1:6" x14ac:dyDescent="0.2">
      <c r="A453" s="116"/>
      <c r="B453" s="335" t="s">
        <v>80</v>
      </c>
      <c r="C453" s="339"/>
      <c r="D453" s="339"/>
      <c r="E453" s="338">
        <v>0.05</v>
      </c>
      <c r="F453" s="337">
        <f>F450*E453</f>
        <v>5260127.5</v>
      </c>
    </row>
    <row r="454" spans="1:6" x14ac:dyDescent="0.2">
      <c r="A454" s="116"/>
      <c r="B454" s="335" t="s">
        <v>81</v>
      </c>
      <c r="C454" s="339"/>
      <c r="D454" s="339"/>
      <c r="E454" s="338"/>
      <c r="F454" s="337">
        <f>+F450+F451+F452+F453</f>
        <v>140971417</v>
      </c>
    </row>
    <row r="455" spans="1:6" x14ac:dyDescent="0.2">
      <c r="A455" s="116"/>
      <c r="B455" s="335" t="s">
        <v>82</v>
      </c>
      <c r="C455" s="339"/>
      <c r="D455" s="339"/>
      <c r="E455" s="338">
        <v>0.19</v>
      </c>
      <c r="F455" s="111">
        <f>ROUND(F453*E455,0)</f>
        <v>999424</v>
      </c>
    </row>
    <row r="456" spans="1:6" x14ac:dyDescent="0.2">
      <c r="A456" s="116"/>
      <c r="B456" s="340" t="s">
        <v>30</v>
      </c>
      <c r="C456" s="340"/>
      <c r="D456" s="340"/>
      <c r="E456" s="340"/>
      <c r="F456" s="350">
        <f>+F455+F454</f>
        <v>141970841</v>
      </c>
    </row>
    <row r="458" spans="1:6" ht="13.5" thickBot="1" x14ac:dyDescent="0.25"/>
    <row r="459" spans="1:6" ht="52.5" customHeight="1" thickBot="1" x14ac:dyDescent="0.25">
      <c r="A459" s="650" t="s">
        <v>564</v>
      </c>
      <c r="B459" s="651"/>
      <c r="C459" s="651"/>
      <c r="D459" s="651"/>
      <c r="E459" s="651"/>
      <c r="F459" s="652"/>
    </row>
    <row r="460" spans="1:6" x14ac:dyDescent="0.2">
      <c r="A460" s="113" t="s">
        <v>204</v>
      </c>
      <c r="B460" s="113" t="s">
        <v>10</v>
      </c>
      <c r="C460" s="113" t="s">
        <v>174</v>
      </c>
      <c r="D460" s="113" t="s">
        <v>35</v>
      </c>
      <c r="E460" s="113" t="s">
        <v>175</v>
      </c>
      <c r="F460" s="113" t="s">
        <v>176</v>
      </c>
    </row>
    <row r="461" spans="1:6" x14ac:dyDescent="0.2">
      <c r="A461" s="117" t="s">
        <v>177</v>
      </c>
      <c r="B461" s="359" t="s">
        <v>38</v>
      </c>
      <c r="C461" s="117"/>
      <c r="D461" s="360"/>
      <c r="E461" s="361"/>
      <c r="F461" s="361"/>
    </row>
    <row r="462" spans="1:6" ht="38.25" x14ac:dyDescent="0.2">
      <c r="A462" s="117" t="s">
        <v>11</v>
      </c>
      <c r="B462" s="362" t="s">
        <v>565</v>
      </c>
      <c r="C462" s="117" t="s">
        <v>179</v>
      </c>
      <c r="D462" s="360">
        <v>99.6</v>
      </c>
      <c r="E462" s="361">
        <v>3324</v>
      </c>
      <c r="F462" s="361">
        <f t="shared" ref="F462:F465" si="56">ROUND(D462*E462,0)</f>
        <v>331070</v>
      </c>
    </row>
    <row r="463" spans="1:6" ht="38.25" x14ac:dyDescent="0.2">
      <c r="A463" s="117" t="s">
        <v>178</v>
      </c>
      <c r="B463" s="362" t="s">
        <v>406</v>
      </c>
      <c r="C463" s="117" t="s">
        <v>179</v>
      </c>
      <c r="D463" s="360">
        <v>221.2</v>
      </c>
      <c r="E463" s="361">
        <v>10960</v>
      </c>
      <c r="F463" s="361">
        <f t="shared" si="56"/>
        <v>2424352</v>
      </c>
    </row>
    <row r="464" spans="1:6" ht="38.25" x14ac:dyDescent="0.2">
      <c r="A464" s="117" t="s">
        <v>13</v>
      </c>
      <c r="B464" s="134" t="s">
        <v>399</v>
      </c>
      <c r="C464" s="117" t="s">
        <v>45</v>
      </c>
      <c r="D464" s="360">
        <v>1</v>
      </c>
      <c r="E464" s="361">
        <v>658103</v>
      </c>
      <c r="F464" s="361">
        <f t="shared" si="56"/>
        <v>658103</v>
      </c>
    </row>
    <row r="465" spans="1:6" ht="25.5" x14ac:dyDescent="0.2">
      <c r="A465" s="117" t="s">
        <v>180</v>
      </c>
      <c r="B465" s="134" t="s">
        <v>407</v>
      </c>
      <c r="C465" s="117" t="s">
        <v>45</v>
      </c>
      <c r="D465" s="360">
        <v>4</v>
      </c>
      <c r="E465" s="361">
        <v>198760</v>
      </c>
      <c r="F465" s="361">
        <f t="shared" si="56"/>
        <v>795040</v>
      </c>
    </row>
    <row r="466" spans="1:6" x14ac:dyDescent="0.2">
      <c r="A466" s="117">
        <v>2</v>
      </c>
      <c r="B466" s="359" t="s">
        <v>182</v>
      </c>
      <c r="C466" s="117"/>
      <c r="D466" s="360"/>
      <c r="E466" s="361" t="s">
        <v>0</v>
      </c>
      <c r="F466" s="361"/>
    </row>
    <row r="467" spans="1:6" x14ac:dyDescent="0.2">
      <c r="A467" s="117" t="s">
        <v>183</v>
      </c>
      <c r="B467" s="126" t="s">
        <v>566</v>
      </c>
      <c r="C467" s="117" t="s">
        <v>12</v>
      </c>
      <c r="D467" s="360">
        <v>31.26</v>
      </c>
      <c r="E467" s="361">
        <v>124864</v>
      </c>
      <c r="F467" s="361">
        <f t="shared" ref="F467:F469" si="57">ROUND(D467*E467,0)</f>
        <v>3903249</v>
      </c>
    </row>
    <row r="468" spans="1:6" ht="25.5" x14ac:dyDescent="0.2">
      <c r="A468" s="117">
        <v>2.2000000000000002</v>
      </c>
      <c r="B468" s="362" t="s">
        <v>250</v>
      </c>
      <c r="C468" s="117" t="s">
        <v>12</v>
      </c>
      <c r="D468" s="360">
        <v>1.2</v>
      </c>
      <c r="E468" s="361">
        <v>101139</v>
      </c>
      <c r="F468" s="361">
        <f t="shared" si="57"/>
        <v>121367</v>
      </c>
    </row>
    <row r="469" spans="1:6" ht="25.5" x14ac:dyDescent="0.2">
      <c r="A469" s="117">
        <v>2.2999999999999998</v>
      </c>
      <c r="B469" s="362" t="s">
        <v>213</v>
      </c>
      <c r="C469" s="117" t="s">
        <v>12</v>
      </c>
      <c r="D469" s="360">
        <v>11.08</v>
      </c>
      <c r="E469" s="361">
        <v>93373</v>
      </c>
      <c r="F469" s="361">
        <f t="shared" si="57"/>
        <v>1034573</v>
      </c>
    </row>
    <row r="470" spans="1:6" x14ac:dyDescent="0.2">
      <c r="A470" s="117">
        <v>3</v>
      </c>
      <c r="B470" s="364" t="s">
        <v>209</v>
      </c>
      <c r="C470" s="117"/>
      <c r="D470" s="360"/>
      <c r="E470" s="361" t="s">
        <v>0</v>
      </c>
      <c r="F470" s="361"/>
    </row>
    <row r="471" spans="1:6" ht="25.5" x14ac:dyDescent="0.2">
      <c r="A471" s="117" t="s">
        <v>214</v>
      </c>
      <c r="B471" s="362" t="s">
        <v>185</v>
      </c>
      <c r="C471" s="117" t="s">
        <v>12</v>
      </c>
      <c r="D471" s="360">
        <v>190.48</v>
      </c>
      <c r="E471" s="361">
        <v>31816</v>
      </c>
      <c r="F471" s="361">
        <f t="shared" ref="F471" si="58">ROUND(D471*E471,0)</f>
        <v>6060312</v>
      </c>
    </row>
    <row r="472" spans="1:6" x14ac:dyDescent="0.2">
      <c r="A472" s="117">
        <v>4</v>
      </c>
      <c r="B472" s="364" t="s">
        <v>184</v>
      </c>
      <c r="C472" s="117"/>
      <c r="D472" s="360"/>
      <c r="E472" s="361" t="s">
        <v>0</v>
      </c>
      <c r="F472" s="361"/>
    </row>
    <row r="473" spans="1:6" ht="25.5" x14ac:dyDescent="0.2">
      <c r="A473" s="117" t="s">
        <v>186</v>
      </c>
      <c r="B473" s="362" t="s">
        <v>408</v>
      </c>
      <c r="C473" s="117" t="s">
        <v>12</v>
      </c>
      <c r="D473" s="360">
        <v>198.26</v>
      </c>
      <c r="E473" s="361">
        <v>26651</v>
      </c>
      <c r="F473" s="361">
        <f t="shared" ref="F473:F475" si="59">ROUND(D473*E473,0)</f>
        <v>5283827</v>
      </c>
    </row>
    <row r="474" spans="1:6" ht="25.5" x14ac:dyDescent="0.2">
      <c r="A474" s="117">
        <v>4.2</v>
      </c>
      <c r="B474" s="362" t="s">
        <v>409</v>
      </c>
      <c r="C474" s="117" t="s">
        <v>12</v>
      </c>
      <c r="D474" s="360">
        <v>45.98</v>
      </c>
      <c r="E474" s="361">
        <v>31685</v>
      </c>
      <c r="F474" s="361">
        <f t="shared" si="59"/>
        <v>1456876</v>
      </c>
    </row>
    <row r="475" spans="1:6" x14ac:dyDescent="0.2">
      <c r="A475" s="117">
        <v>4.3</v>
      </c>
      <c r="B475" s="362" t="s">
        <v>216</v>
      </c>
      <c r="C475" s="117" t="s">
        <v>22</v>
      </c>
      <c r="D475" s="360">
        <v>45</v>
      </c>
      <c r="E475" s="361">
        <v>30722</v>
      </c>
      <c r="F475" s="361">
        <f t="shared" si="59"/>
        <v>1382490</v>
      </c>
    </row>
    <row r="476" spans="1:6" x14ac:dyDescent="0.2">
      <c r="A476" s="117">
        <v>5</v>
      </c>
      <c r="B476" s="364" t="s">
        <v>217</v>
      </c>
      <c r="C476" s="117"/>
      <c r="D476" s="360"/>
      <c r="E476" s="361" t="s">
        <v>0</v>
      </c>
      <c r="F476" s="361"/>
    </row>
    <row r="477" spans="1:6" ht="25.5" x14ac:dyDescent="0.2">
      <c r="A477" s="117" t="s">
        <v>188</v>
      </c>
      <c r="B477" s="362" t="s">
        <v>218</v>
      </c>
      <c r="C477" s="117" t="s">
        <v>12</v>
      </c>
      <c r="D477" s="360">
        <v>156.66999999999999</v>
      </c>
      <c r="E477" s="361">
        <v>21877</v>
      </c>
      <c r="F477" s="361">
        <f t="shared" ref="F477:F478" si="60">ROUND(D477*E477,0)</f>
        <v>3427470</v>
      </c>
    </row>
    <row r="478" spans="1:6" ht="25.5" x14ac:dyDescent="0.2">
      <c r="A478" s="117" t="s">
        <v>189</v>
      </c>
      <c r="B478" s="362" t="s">
        <v>219</v>
      </c>
      <c r="C478" s="117" t="s">
        <v>12</v>
      </c>
      <c r="D478" s="360">
        <v>45.98</v>
      </c>
      <c r="E478" s="361">
        <v>93954</v>
      </c>
      <c r="F478" s="361">
        <f t="shared" si="60"/>
        <v>4320005</v>
      </c>
    </row>
    <row r="479" spans="1:6" ht="25.5" x14ac:dyDescent="0.2">
      <c r="A479" s="117">
        <v>6</v>
      </c>
      <c r="B479" s="364" t="s">
        <v>220</v>
      </c>
      <c r="C479" s="117"/>
      <c r="D479" s="360"/>
      <c r="E479" s="361" t="s">
        <v>0</v>
      </c>
      <c r="F479" s="361"/>
    </row>
    <row r="480" spans="1:6" x14ac:dyDescent="0.2">
      <c r="A480" s="117" t="s">
        <v>221</v>
      </c>
      <c r="B480" s="362" t="s">
        <v>410</v>
      </c>
      <c r="C480" s="117" t="s">
        <v>12</v>
      </c>
      <c r="D480" s="360">
        <v>11.08</v>
      </c>
      <c r="E480" s="361">
        <v>87758</v>
      </c>
      <c r="F480" s="361">
        <f t="shared" ref="F480:F482" si="61">ROUND(D480*E480,0)</f>
        <v>972359</v>
      </c>
    </row>
    <row r="481" spans="1:6" ht="38.25" x14ac:dyDescent="0.2">
      <c r="A481" s="117" t="s">
        <v>253</v>
      </c>
      <c r="B481" s="134" t="s">
        <v>403</v>
      </c>
      <c r="C481" s="117" t="s">
        <v>12</v>
      </c>
      <c r="D481" s="360">
        <v>36.78</v>
      </c>
      <c r="E481" s="361">
        <v>167734</v>
      </c>
      <c r="F481" s="361">
        <f t="shared" si="61"/>
        <v>6169257</v>
      </c>
    </row>
    <row r="482" spans="1:6" ht="25.5" x14ac:dyDescent="0.2">
      <c r="A482" s="117" t="s">
        <v>254</v>
      </c>
      <c r="B482" s="362" t="s">
        <v>411</v>
      </c>
      <c r="C482" s="117" t="s">
        <v>12</v>
      </c>
      <c r="D482" s="360">
        <v>55.11</v>
      </c>
      <c r="E482" s="361">
        <v>89014</v>
      </c>
      <c r="F482" s="361">
        <f t="shared" si="61"/>
        <v>4905562</v>
      </c>
    </row>
    <row r="483" spans="1:6" x14ac:dyDescent="0.2">
      <c r="A483" s="117">
        <v>7</v>
      </c>
      <c r="B483" s="364" t="s">
        <v>222</v>
      </c>
      <c r="C483" s="117"/>
      <c r="D483" s="360"/>
      <c r="E483" s="361" t="s">
        <v>0</v>
      </c>
      <c r="F483" s="361"/>
    </row>
    <row r="484" spans="1:6" ht="38.25" x14ac:dyDescent="0.2">
      <c r="A484" s="117" t="s">
        <v>223</v>
      </c>
      <c r="B484" s="362" t="s">
        <v>662</v>
      </c>
      <c r="C484" s="117" t="s">
        <v>22</v>
      </c>
      <c r="D484" s="360">
        <v>99</v>
      </c>
      <c r="E484" s="361">
        <v>14638</v>
      </c>
      <c r="F484" s="361">
        <f t="shared" ref="F484:F486" si="62">ROUND(D484*E484,0)</f>
        <v>1449162</v>
      </c>
    </row>
    <row r="485" spans="1:6" ht="38.25" x14ac:dyDescent="0.2">
      <c r="A485" s="381" t="s">
        <v>286</v>
      </c>
      <c r="B485" s="362" t="s">
        <v>663</v>
      </c>
      <c r="C485" s="381" t="s">
        <v>22</v>
      </c>
      <c r="D485" s="383">
        <v>99.6</v>
      </c>
      <c r="E485" s="384">
        <v>34155</v>
      </c>
      <c r="F485" s="361">
        <f t="shared" si="62"/>
        <v>3401838</v>
      </c>
    </row>
    <row r="486" spans="1:6" ht="38.25" x14ac:dyDescent="0.2">
      <c r="A486" s="117" t="s">
        <v>278</v>
      </c>
      <c r="B486" s="362" t="s">
        <v>664</v>
      </c>
      <c r="C486" s="117" t="s">
        <v>22</v>
      </c>
      <c r="D486" s="360">
        <v>23.2</v>
      </c>
      <c r="E486" s="361">
        <v>24396</v>
      </c>
      <c r="F486" s="361">
        <f t="shared" si="62"/>
        <v>565987</v>
      </c>
    </row>
    <row r="487" spans="1:6" x14ac:dyDescent="0.2">
      <c r="A487" s="117" t="s">
        <v>224</v>
      </c>
      <c r="B487" s="362" t="s">
        <v>246</v>
      </c>
      <c r="C487" s="117" t="s">
        <v>60</v>
      </c>
      <c r="D487" s="360">
        <v>3</v>
      </c>
      <c r="E487" s="361">
        <v>98109</v>
      </c>
      <c r="F487" s="361">
        <f t="shared" ref="F487:F495" si="63">ROUND(D487*E487,0)</f>
        <v>294327</v>
      </c>
    </row>
    <row r="488" spans="1:6" ht="25.5" x14ac:dyDescent="0.2">
      <c r="A488" s="117" t="s">
        <v>225</v>
      </c>
      <c r="B488" s="362" t="s">
        <v>226</v>
      </c>
      <c r="C488" s="117" t="s">
        <v>22</v>
      </c>
      <c r="D488" s="360">
        <v>1.85</v>
      </c>
      <c r="E488" s="361">
        <v>681326</v>
      </c>
      <c r="F488" s="361">
        <f t="shared" si="63"/>
        <v>1260453</v>
      </c>
    </row>
    <row r="489" spans="1:6" ht="25.5" x14ac:dyDescent="0.2">
      <c r="A489" s="117" t="s">
        <v>227</v>
      </c>
      <c r="B489" s="362" t="s">
        <v>228</v>
      </c>
      <c r="C489" s="117" t="s">
        <v>60</v>
      </c>
      <c r="D489" s="360">
        <v>3</v>
      </c>
      <c r="E489" s="361">
        <v>559575</v>
      </c>
      <c r="F489" s="361">
        <f t="shared" si="63"/>
        <v>1678725</v>
      </c>
    </row>
    <row r="490" spans="1:6" x14ac:dyDescent="0.2">
      <c r="A490" s="117" t="s">
        <v>229</v>
      </c>
      <c r="B490" s="362" t="s">
        <v>260</v>
      </c>
      <c r="C490" s="117" t="s">
        <v>60</v>
      </c>
      <c r="D490" s="360">
        <v>6</v>
      </c>
      <c r="E490" s="361">
        <v>55871</v>
      </c>
      <c r="F490" s="361">
        <f t="shared" si="63"/>
        <v>335226</v>
      </c>
    </row>
    <row r="491" spans="1:6" ht="25.5" x14ac:dyDescent="0.2">
      <c r="A491" s="117" t="s">
        <v>231</v>
      </c>
      <c r="B491" s="362" t="s">
        <v>230</v>
      </c>
      <c r="C491" s="117" t="s">
        <v>60</v>
      </c>
      <c r="D491" s="360">
        <v>3</v>
      </c>
      <c r="E491" s="361">
        <v>508317</v>
      </c>
      <c r="F491" s="361">
        <f t="shared" si="63"/>
        <v>1524951</v>
      </c>
    </row>
    <row r="492" spans="1:6" ht="25.5" x14ac:dyDescent="0.2">
      <c r="A492" s="117" t="s">
        <v>233</v>
      </c>
      <c r="B492" s="362" t="s">
        <v>232</v>
      </c>
      <c r="C492" s="117" t="s">
        <v>45</v>
      </c>
      <c r="D492" s="360">
        <v>18</v>
      </c>
      <c r="E492" s="361">
        <v>373381</v>
      </c>
      <c r="F492" s="361">
        <f t="shared" si="63"/>
        <v>6720858</v>
      </c>
    </row>
    <row r="493" spans="1:6" ht="51" x14ac:dyDescent="0.2">
      <c r="A493" s="401" t="s">
        <v>234</v>
      </c>
      <c r="B493" s="362" t="s">
        <v>412</v>
      </c>
      <c r="C493" s="117" t="s">
        <v>60</v>
      </c>
      <c r="D493" s="360">
        <v>3</v>
      </c>
      <c r="E493" s="361">
        <v>662889</v>
      </c>
      <c r="F493" s="361">
        <f t="shared" si="63"/>
        <v>1988667</v>
      </c>
    </row>
    <row r="494" spans="1:6" ht="38.25" x14ac:dyDescent="0.2">
      <c r="A494" s="117" t="s">
        <v>247</v>
      </c>
      <c r="B494" s="362" t="s">
        <v>665</v>
      </c>
      <c r="C494" s="117" t="s">
        <v>60</v>
      </c>
      <c r="D494" s="360">
        <v>18</v>
      </c>
      <c r="E494" s="361">
        <v>86418</v>
      </c>
      <c r="F494" s="361">
        <f t="shared" si="63"/>
        <v>1555524</v>
      </c>
    </row>
    <row r="495" spans="1:6" ht="51" x14ac:dyDescent="0.2">
      <c r="A495" s="117" t="s">
        <v>256</v>
      </c>
      <c r="B495" s="362" t="s">
        <v>404</v>
      </c>
      <c r="C495" s="117" t="s">
        <v>60</v>
      </c>
      <c r="D495" s="360">
        <v>4</v>
      </c>
      <c r="E495" s="361">
        <v>1655287</v>
      </c>
      <c r="F495" s="361">
        <f t="shared" si="63"/>
        <v>6621148</v>
      </c>
    </row>
    <row r="496" spans="1:6" x14ac:dyDescent="0.2">
      <c r="A496" s="117">
        <v>9</v>
      </c>
      <c r="B496" s="364" t="s">
        <v>236</v>
      </c>
      <c r="C496" s="117"/>
      <c r="D496" s="360"/>
      <c r="E496" s="361" t="s">
        <v>0</v>
      </c>
      <c r="F496" s="361"/>
    </row>
    <row r="497" spans="1:6" x14ac:dyDescent="0.2">
      <c r="A497" s="117" t="s">
        <v>243</v>
      </c>
      <c r="B497" s="362" t="s">
        <v>238</v>
      </c>
      <c r="C497" s="117" t="s">
        <v>22</v>
      </c>
      <c r="D497" s="360">
        <v>496.8</v>
      </c>
      <c r="E497" s="361">
        <v>12721</v>
      </c>
      <c r="F497" s="361">
        <f t="shared" ref="F497:F500" si="64">ROUND(D497*E497,0)</f>
        <v>6319793</v>
      </c>
    </row>
    <row r="498" spans="1:6" ht="51" x14ac:dyDescent="0.2">
      <c r="A498" s="117" t="s">
        <v>393</v>
      </c>
      <c r="B498" s="121" t="s">
        <v>567</v>
      </c>
      <c r="C498" s="117" t="s">
        <v>12</v>
      </c>
      <c r="D498" s="360">
        <v>33.1</v>
      </c>
      <c r="E498" s="361">
        <v>822788</v>
      </c>
      <c r="F498" s="361">
        <f t="shared" si="64"/>
        <v>27234283</v>
      </c>
    </row>
    <row r="499" spans="1:6" ht="25.5" x14ac:dyDescent="0.2">
      <c r="A499" s="117" t="s">
        <v>394</v>
      </c>
      <c r="B499" s="365" t="s">
        <v>257</v>
      </c>
      <c r="C499" s="117" t="s">
        <v>12</v>
      </c>
      <c r="D499" s="360">
        <v>11.08</v>
      </c>
      <c r="E499" s="361">
        <v>698748</v>
      </c>
      <c r="F499" s="361">
        <f t="shared" si="64"/>
        <v>7742128</v>
      </c>
    </row>
    <row r="500" spans="1:6" ht="25.5" x14ac:dyDescent="0.2">
      <c r="A500" s="117" t="s">
        <v>395</v>
      </c>
      <c r="B500" s="365" t="s">
        <v>568</v>
      </c>
      <c r="C500" s="117" t="s">
        <v>22</v>
      </c>
      <c r="D500" s="360">
        <v>40</v>
      </c>
      <c r="E500" s="361">
        <v>73123</v>
      </c>
      <c r="F500" s="361">
        <f t="shared" si="64"/>
        <v>2924920</v>
      </c>
    </row>
    <row r="501" spans="1:6" x14ac:dyDescent="0.2">
      <c r="A501" s="117">
        <v>10</v>
      </c>
      <c r="B501" s="362" t="s">
        <v>405</v>
      </c>
      <c r="C501" s="117"/>
      <c r="D501" s="360"/>
      <c r="E501" s="361" t="s">
        <v>0</v>
      </c>
      <c r="F501" s="361"/>
    </row>
    <row r="502" spans="1:6" ht="38.25" x14ac:dyDescent="0.2">
      <c r="A502" s="117" t="s">
        <v>324</v>
      </c>
      <c r="B502" s="362" t="s">
        <v>258</v>
      </c>
      <c r="C502" s="117" t="s">
        <v>206</v>
      </c>
      <c r="D502" s="360">
        <v>1.25</v>
      </c>
      <c r="E502" s="361">
        <v>1404940</v>
      </c>
      <c r="F502" s="361">
        <f t="shared" ref="F502" si="65">ROUND(D502*E502,0)</f>
        <v>1756175</v>
      </c>
    </row>
    <row r="503" spans="1:6" x14ac:dyDescent="0.2">
      <c r="A503" s="117"/>
      <c r="B503" s="362"/>
      <c r="C503" s="117"/>
      <c r="D503" s="360"/>
      <c r="E503" s="361"/>
      <c r="F503" s="361"/>
    </row>
    <row r="504" spans="1:6" x14ac:dyDescent="0.2">
      <c r="A504" s="402"/>
      <c r="B504" s="403"/>
      <c r="C504" s="402"/>
      <c r="D504" s="404"/>
      <c r="E504" s="398"/>
      <c r="F504" s="405"/>
    </row>
    <row r="505" spans="1:6" x14ac:dyDescent="0.2">
      <c r="A505" s="393"/>
      <c r="B505" s="359" t="s">
        <v>30</v>
      </c>
      <c r="C505" s="395"/>
      <c r="D505" s="368"/>
      <c r="E505" s="406"/>
      <c r="F505" s="125">
        <f>ROUND(SUM(F461:F504),0)</f>
        <v>116620077</v>
      </c>
    </row>
    <row r="506" spans="1:6" x14ac:dyDescent="0.2">
      <c r="A506" s="136"/>
      <c r="B506" s="335" t="s">
        <v>77</v>
      </c>
      <c r="C506" s="336"/>
      <c r="D506" s="336"/>
      <c r="E506" s="336"/>
      <c r="F506" s="336"/>
    </row>
    <row r="507" spans="1:6" x14ac:dyDescent="0.2">
      <c r="A507" s="393"/>
      <c r="B507" s="335" t="s">
        <v>78</v>
      </c>
      <c r="C507" s="336"/>
      <c r="D507" s="336"/>
      <c r="E507" s="336"/>
      <c r="F507" s="347">
        <f>ROUND(F505/1.3495,0)</f>
        <v>86417249</v>
      </c>
    </row>
    <row r="508" spans="1:6" x14ac:dyDescent="0.2">
      <c r="A508" s="393"/>
      <c r="B508" s="335" t="s">
        <v>79</v>
      </c>
      <c r="C508" s="336"/>
      <c r="D508" s="336"/>
      <c r="E508" s="338">
        <v>0.24</v>
      </c>
      <c r="F508" s="337">
        <f>F507*E508</f>
        <v>20740139.759999998</v>
      </c>
    </row>
    <row r="509" spans="1:6" x14ac:dyDescent="0.2">
      <c r="A509" s="393"/>
      <c r="B509" s="335" t="s">
        <v>32</v>
      </c>
      <c r="C509" s="336"/>
      <c r="D509" s="336"/>
      <c r="E509" s="338">
        <v>0.05</v>
      </c>
      <c r="F509" s="337">
        <f>F507*E509</f>
        <v>4320862.45</v>
      </c>
    </row>
    <row r="510" spans="1:6" x14ac:dyDescent="0.2">
      <c r="A510" s="136"/>
      <c r="B510" s="335" t="s">
        <v>80</v>
      </c>
      <c r="C510" s="339"/>
      <c r="D510" s="339"/>
      <c r="E510" s="338">
        <v>0.05</v>
      </c>
      <c r="F510" s="337">
        <f>F507*E510</f>
        <v>4320862.45</v>
      </c>
    </row>
    <row r="511" spans="1:6" x14ac:dyDescent="0.2">
      <c r="A511" s="393"/>
      <c r="B511" s="335" t="s">
        <v>81</v>
      </c>
      <c r="C511" s="339"/>
      <c r="D511" s="339"/>
      <c r="E511" s="338"/>
      <c r="F511" s="337">
        <f>+F507+F508+F509+F510</f>
        <v>115799113.66</v>
      </c>
    </row>
    <row r="512" spans="1:6" x14ac:dyDescent="0.2">
      <c r="A512" s="399"/>
      <c r="B512" s="335" t="s">
        <v>82</v>
      </c>
      <c r="C512" s="339"/>
      <c r="D512" s="339"/>
      <c r="E512" s="338">
        <v>0.19</v>
      </c>
      <c r="F512" s="111">
        <f>ROUND(F510*E512,0)</f>
        <v>820964</v>
      </c>
    </row>
    <row r="513" spans="1:6" x14ac:dyDescent="0.2">
      <c r="A513" s="136"/>
      <c r="B513" s="340" t="s">
        <v>83</v>
      </c>
      <c r="C513" s="340"/>
      <c r="D513" s="340"/>
      <c r="E513" s="340"/>
      <c r="F513" s="350">
        <f>+F512+F511</f>
        <v>116620077.66</v>
      </c>
    </row>
    <row r="517" spans="1:6" x14ac:dyDescent="0.2">
      <c r="B517" s="238" t="s">
        <v>758</v>
      </c>
      <c r="C517" s="238"/>
      <c r="D517" s="239">
        <f>F47+F102+F146+F185+F232</f>
        <v>466525457</v>
      </c>
      <c r="E517" s="239"/>
    </row>
    <row r="518" spans="1:6" x14ac:dyDescent="0.2">
      <c r="B518" s="238" t="s">
        <v>759</v>
      </c>
      <c r="C518" s="238"/>
      <c r="D518" s="240">
        <f>F513+F448</f>
        <v>258590918.66</v>
      </c>
      <c r="E518" s="240"/>
    </row>
    <row r="519" spans="1:6" x14ac:dyDescent="0.2">
      <c r="B519" s="238" t="s">
        <v>760</v>
      </c>
      <c r="C519" s="238"/>
      <c r="D519" s="239">
        <f>F395+F342+F292</f>
        <v>224745128</v>
      </c>
      <c r="E519" s="239"/>
    </row>
    <row r="520" spans="1:6" x14ac:dyDescent="0.2">
      <c r="B520" s="238"/>
      <c r="C520" s="238"/>
      <c r="D520" s="238"/>
      <c r="E520" s="238"/>
    </row>
    <row r="521" spans="1:6" x14ac:dyDescent="0.2">
      <c r="B521" s="238" t="s">
        <v>765</v>
      </c>
      <c r="C521" s="238"/>
      <c r="D521" s="239">
        <f>SUM(D517:D520)</f>
        <v>949861503.65999997</v>
      </c>
      <c r="E521" s="239"/>
    </row>
  </sheetData>
  <mergeCells count="27">
    <mergeCell ref="A154:B154"/>
    <mergeCell ref="B157:F157"/>
    <mergeCell ref="A5:F5"/>
    <mergeCell ref="A58:F58"/>
    <mergeCell ref="B113:F113"/>
    <mergeCell ref="A114:A115"/>
    <mergeCell ref="B114:B115"/>
    <mergeCell ref="C114:C115"/>
    <mergeCell ref="D114:F114"/>
    <mergeCell ref="C165:E165"/>
    <mergeCell ref="C116:E116"/>
    <mergeCell ref="C121:E121"/>
    <mergeCell ref="C124:E124"/>
    <mergeCell ref="C128:E128"/>
    <mergeCell ref="A158:A159"/>
    <mergeCell ref="B158:B159"/>
    <mergeCell ref="C158:C159"/>
    <mergeCell ref="D158:F158"/>
    <mergeCell ref="C160:E160"/>
    <mergeCell ref="A398:F398"/>
    <mergeCell ref="A459:F459"/>
    <mergeCell ref="C168:E168"/>
    <mergeCell ref="C171:E171"/>
    <mergeCell ref="A196:F196"/>
    <mergeCell ref="A244:F244"/>
    <mergeCell ref="A304:F304"/>
    <mergeCell ref="A354:F354"/>
  </mergeCells>
  <printOptions horizontalCentered="1" verticalCentered="1"/>
  <pageMargins left="0.70866141732283472" right="0.70866141732283472" top="0.27559055118110237" bottom="0.31496062992125984" header="0.31496062992125984" footer="0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45"/>
  <sheetViews>
    <sheetView zoomScaleNormal="100" workbookViewId="0">
      <pane xSplit="3" ySplit="1" topLeftCell="D419" activePane="bottomRight" state="frozen"/>
      <selection pane="topRight" activeCell="E1" sqref="E1"/>
      <selection pane="bottomLeft" activeCell="A4" sqref="A4"/>
      <selection pane="bottomRight" activeCell="E443" sqref="E443"/>
    </sheetView>
  </sheetViews>
  <sheetFormatPr baseColWidth="10" defaultRowHeight="12.75" x14ac:dyDescent="0.2"/>
  <cols>
    <col min="1" max="1" width="11.42578125" style="205"/>
    <col min="2" max="2" width="33.5703125" style="205" customWidth="1"/>
    <col min="3" max="3" width="11.42578125" style="205"/>
    <col min="4" max="4" width="12.28515625" style="357" bestFit="1" customWidth="1"/>
    <col min="5" max="5" width="14.7109375" style="358" customWidth="1"/>
    <col min="6" max="6" width="15.140625" style="205" customWidth="1"/>
    <col min="7" max="16384" width="11.42578125" style="205"/>
  </cols>
  <sheetData>
    <row r="2" spans="1:6" x14ac:dyDescent="0.2">
      <c r="B2" s="204" t="s">
        <v>762</v>
      </c>
    </row>
    <row r="4" spans="1:6" ht="56.25" customHeight="1" x14ac:dyDescent="0.2">
      <c r="A4" s="639" t="s">
        <v>333</v>
      </c>
      <c r="B4" s="639"/>
      <c r="C4" s="639"/>
      <c r="D4" s="639"/>
      <c r="E4" s="639"/>
      <c r="F4" s="639"/>
    </row>
    <row r="5" spans="1:6" ht="13.5" thickBot="1" x14ac:dyDescent="0.25">
      <c r="A5" s="54"/>
      <c r="B5" s="54"/>
      <c r="C5" s="54"/>
      <c r="D5" s="55"/>
      <c r="E5" s="56"/>
      <c r="F5" s="56"/>
    </row>
    <row r="6" spans="1:6" ht="13.5" thickBot="1" x14ac:dyDescent="0.25">
      <c r="A6" s="640" t="s">
        <v>15</v>
      </c>
      <c r="B6" s="642" t="s">
        <v>16</v>
      </c>
      <c r="C6" s="640" t="s">
        <v>33</v>
      </c>
      <c r="D6" s="644" t="s">
        <v>34</v>
      </c>
      <c r="E6" s="645"/>
      <c r="F6" s="646"/>
    </row>
    <row r="7" spans="1:6" ht="13.5" thickBot="1" x14ac:dyDescent="0.25">
      <c r="A7" s="683"/>
      <c r="B7" s="684"/>
      <c r="C7" s="683"/>
      <c r="D7" s="407" t="s">
        <v>35</v>
      </c>
      <c r="E7" s="408" t="s">
        <v>36</v>
      </c>
      <c r="F7" s="409" t="s">
        <v>37</v>
      </c>
    </row>
    <row r="8" spans="1:6" ht="13.5" thickBot="1" x14ac:dyDescent="0.25">
      <c r="A8" s="410">
        <v>1</v>
      </c>
      <c r="B8" s="411" t="s">
        <v>334</v>
      </c>
      <c r="C8" s="412"/>
      <c r="D8" s="413"/>
      <c r="E8" s="414"/>
      <c r="F8" s="415"/>
    </row>
    <row r="9" spans="1:6" x14ac:dyDescent="0.2">
      <c r="A9" s="416">
        <v>1.1000000000000001</v>
      </c>
      <c r="B9" s="417" t="s">
        <v>328</v>
      </c>
      <c r="C9" s="418" t="s">
        <v>22</v>
      </c>
      <c r="D9" s="419">
        <v>76</v>
      </c>
      <c r="E9" s="420">
        <v>4390</v>
      </c>
      <c r="F9" s="545">
        <f>ROUND((D9*E9),0)</f>
        <v>333640</v>
      </c>
    </row>
    <row r="10" spans="1:6" ht="25.5" x14ac:dyDescent="0.2">
      <c r="A10" s="421">
        <v>1.2</v>
      </c>
      <c r="B10" s="422" t="s">
        <v>18</v>
      </c>
      <c r="C10" s="423" t="s">
        <v>22</v>
      </c>
      <c r="D10" s="424">
        <v>100</v>
      </c>
      <c r="E10" s="64">
        <v>10165</v>
      </c>
      <c r="F10" s="546">
        <f t="shared" ref="F10:F43" si="0">ROUND((D10*E10),0)</f>
        <v>1016500</v>
      </c>
    </row>
    <row r="11" spans="1:6" ht="25.5" x14ac:dyDescent="0.2">
      <c r="A11" s="421">
        <v>1.3</v>
      </c>
      <c r="B11" s="425" t="s">
        <v>191</v>
      </c>
      <c r="C11" s="423" t="s">
        <v>27</v>
      </c>
      <c r="D11" s="424">
        <v>200</v>
      </c>
      <c r="E11" s="64">
        <v>7380</v>
      </c>
      <c r="F11" s="546">
        <f t="shared" si="0"/>
        <v>1476000</v>
      </c>
    </row>
    <row r="12" spans="1:6" ht="25.5" x14ac:dyDescent="0.2">
      <c r="A12" s="421">
        <v>1.4</v>
      </c>
      <c r="B12" s="425" t="s">
        <v>44</v>
      </c>
      <c r="C12" s="423" t="s">
        <v>45</v>
      </c>
      <c r="D12" s="424">
        <v>2</v>
      </c>
      <c r="E12" s="65">
        <v>160200</v>
      </c>
      <c r="F12" s="546">
        <f t="shared" si="0"/>
        <v>320400</v>
      </c>
    </row>
    <row r="13" spans="1:6" ht="26.25" thickBot="1" x14ac:dyDescent="0.25">
      <c r="A13" s="421">
        <v>1.5</v>
      </c>
      <c r="B13" s="426" t="s">
        <v>47</v>
      </c>
      <c r="C13" s="423" t="s">
        <v>45</v>
      </c>
      <c r="D13" s="424">
        <v>1</v>
      </c>
      <c r="E13" s="427">
        <v>662330</v>
      </c>
      <c r="F13" s="546">
        <f t="shared" si="0"/>
        <v>662330</v>
      </c>
    </row>
    <row r="14" spans="1:6" ht="13.5" thickBot="1" x14ac:dyDescent="0.25">
      <c r="A14" s="410">
        <v>2</v>
      </c>
      <c r="B14" s="411" t="s">
        <v>48</v>
      </c>
      <c r="C14" s="412"/>
      <c r="D14" s="413"/>
      <c r="E14" s="414"/>
      <c r="F14" s="547"/>
    </row>
    <row r="15" spans="1:6" ht="25.5" x14ac:dyDescent="0.2">
      <c r="A15" s="421">
        <v>2.1</v>
      </c>
      <c r="B15" s="428" t="s">
        <v>49</v>
      </c>
      <c r="C15" s="423" t="s">
        <v>749</v>
      </c>
      <c r="D15" s="424">
        <v>14.55</v>
      </c>
      <c r="E15" s="429">
        <v>72760</v>
      </c>
      <c r="F15" s="546">
        <f t="shared" si="0"/>
        <v>1058658</v>
      </c>
    </row>
    <row r="16" spans="1:6" ht="26.25" thickBot="1" x14ac:dyDescent="0.25">
      <c r="A16" s="421">
        <v>2.2000000000000002</v>
      </c>
      <c r="B16" s="430" t="s">
        <v>50</v>
      </c>
      <c r="C16" s="423" t="s">
        <v>22</v>
      </c>
      <c r="D16" s="424">
        <v>150</v>
      </c>
      <c r="E16" s="71">
        <v>6200</v>
      </c>
      <c r="F16" s="546">
        <f t="shared" si="0"/>
        <v>930000</v>
      </c>
    </row>
    <row r="17" spans="1:6" ht="13.5" thickBot="1" x14ac:dyDescent="0.25">
      <c r="A17" s="410">
        <v>3</v>
      </c>
      <c r="B17" s="411" t="s">
        <v>51</v>
      </c>
      <c r="C17" s="412"/>
      <c r="D17" s="413"/>
      <c r="E17" s="414"/>
      <c r="F17" s="547"/>
    </row>
    <row r="18" spans="1:6" ht="26.25" thickBot="1" x14ac:dyDescent="0.25">
      <c r="A18" s="421">
        <v>3.1</v>
      </c>
      <c r="B18" s="431" t="s">
        <v>52</v>
      </c>
      <c r="C18" s="423" t="s">
        <v>749</v>
      </c>
      <c r="D18" s="424">
        <v>66.599999999999994</v>
      </c>
      <c r="E18" s="429">
        <v>23000</v>
      </c>
      <c r="F18" s="546">
        <f t="shared" si="0"/>
        <v>1531800</v>
      </c>
    </row>
    <row r="19" spans="1:6" ht="26.25" thickBot="1" x14ac:dyDescent="0.25">
      <c r="A19" s="421">
        <v>3.2</v>
      </c>
      <c r="B19" s="431" t="s">
        <v>53</v>
      </c>
      <c r="C19" s="423" t="s">
        <v>749</v>
      </c>
      <c r="D19" s="424">
        <v>9.99</v>
      </c>
      <c r="E19" s="65">
        <v>31630</v>
      </c>
      <c r="F19" s="546">
        <f t="shared" si="0"/>
        <v>315984</v>
      </c>
    </row>
    <row r="20" spans="1:6" ht="26.25" thickBot="1" x14ac:dyDescent="0.25">
      <c r="A20" s="421">
        <v>3.3</v>
      </c>
      <c r="B20" s="431" t="s">
        <v>335</v>
      </c>
      <c r="C20" s="423" t="s">
        <v>749</v>
      </c>
      <c r="D20" s="424">
        <v>33.299999999999997</v>
      </c>
      <c r="E20" s="427">
        <v>39000</v>
      </c>
      <c r="F20" s="546">
        <f t="shared" si="0"/>
        <v>1298700</v>
      </c>
    </row>
    <row r="21" spans="1:6" ht="26.25" thickBot="1" x14ac:dyDescent="0.25">
      <c r="A21" s="410">
        <v>4</v>
      </c>
      <c r="B21" s="431" t="s">
        <v>54</v>
      </c>
      <c r="C21" s="412"/>
      <c r="D21" s="413"/>
      <c r="E21" s="414"/>
      <c r="F21" s="547"/>
    </row>
    <row r="22" spans="1:6" ht="39" thickBot="1" x14ac:dyDescent="0.25">
      <c r="A22" s="421">
        <v>4.0999999999999996</v>
      </c>
      <c r="B22" s="431" t="s">
        <v>336</v>
      </c>
      <c r="C22" s="423" t="s">
        <v>22</v>
      </c>
      <c r="D22" s="424">
        <v>48</v>
      </c>
      <c r="E22" s="429">
        <v>12240</v>
      </c>
      <c r="F22" s="546">
        <f>ROUND((D22*E22),0)</f>
        <v>587520</v>
      </c>
    </row>
    <row r="23" spans="1:6" ht="26.25" thickBot="1" x14ac:dyDescent="0.25">
      <c r="A23" s="421">
        <v>4.2</v>
      </c>
      <c r="B23" s="431" t="s">
        <v>337</v>
      </c>
      <c r="C23" s="423" t="s">
        <v>22</v>
      </c>
      <c r="D23" s="424">
        <v>39</v>
      </c>
      <c r="E23" s="65">
        <v>34000</v>
      </c>
      <c r="F23" s="546">
        <f>ROUND((D23*E23),0)</f>
        <v>1326000</v>
      </c>
    </row>
    <row r="24" spans="1:6" ht="26.25" thickBot="1" x14ac:dyDescent="0.25">
      <c r="A24" s="432">
        <v>4.3</v>
      </c>
      <c r="B24" s="431" t="s">
        <v>668</v>
      </c>
      <c r="C24" s="432" t="s">
        <v>14</v>
      </c>
      <c r="D24" s="433">
        <v>8</v>
      </c>
      <c r="E24" s="434">
        <v>65000</v>
      </c>
      <c r="F24" s="548">
        <f>SUM(D24*E24)</f>
        <v>520000</v>
      </c>
    </row>
    <row r="25" spans="1:6" ht="13.5" thickBot="1" x14ac:dyDescent="0.25">
      <c r="A25" s="410">
        <v>5</v>
      </c>
      <c r="B25" s="411" t="s">
        <v>56</v>
      </c>
      <c r="C25" s="412"/>
      <c r="D25" s="413"/>
      <c r="E25" s="414"/>
      <c r="F25" s="547"/>
    </row>
    <row r="26" spans="1:6" ht="13.5" thickBot="1" x14ac:dyDescent="0.25">
      <c r="A26" s="421">
        <v>5.0999999999999996</v>
      </c>
      <c r="B26" s="435" t="s">
        <v>57</v>
      </c>
      <c r="C26" s="423" t="s">
        <v>22</v>
      </c>
      <c r="D26" s="424">
        <v>40</v>
      </c>
      <c r="E26" s="436">
        <v>29300</v>
      </c>
      <c r="F26" s="546">
        <f>ROUND((D26*E26),0)</f>
        <v>1172000</v>
      </c>
    </row>
    <row r="27" spans="1:6" ht="26.25" thickBot="1" x14ac:dyDescent="0.25">
      <c r="A27" s="410">
        <v>6</v>
      </c>
      <c r="B27" s="543" t="s">
        <v>58</v>
      </c>
      <c r="C27" s="412"/>
      <c r="D27" s="413"/>
      <c r="E27" s="414"/>
      <c r="F27" s="547" t="s">
        <v>0</v>
      </c>
    </row>
    <row r="28" spans="1:6" ht="51.75" thickBot="1" x14ac:dyDescent="0.25">
      <c r="A28" s="421">
        <v>6.1</v>
      </c>
      <c r="B28" s="437" t="s">
        <v>59</v>
      </c>
      <c r="C28" s="423" t="s">
        <v>60</v>
      </c>
      <c r="D28" s="424">
        <v>8</v>
      </c>
      <c r="E28" s="438">
        <v>208650</v>
      </c>
      <c r="F28" s="546">
        <f>ROUND((D28*E28),0)</f>
        <v>1669200</v>
      </c>
    </row>
    <row r="29" spans="1:6" ht="13.5" thickBot="1" x14ac:dyDescent="0.25">
      <c r="A29" s="410">
        <v>7</v>
      </c>
      <c r="B29" s="411" t="s">
        <v>61</v>
      </c>
      <c r="C29" s="412"/>
      <c r="D29" s="413"/>
      <c r="E29" s="414"/>
      <c r="F29" s="547"/>
    </row>
    <row r="30" spans="1:6" ht="26.25" thickBot="1" x14ac:dyDescent="0.25">
      <c r="A30" s="421">
        <v>7.1</v>
      </c>
      <c r="B30" s="437" t="s">
        <v>62</v>
      </c>
      <c r="C30" s="423" t="s">
        <v>749</v>
      </c>
      <c r="D30" s="424">
        <v>109.89</v>
      </c>
      <c r="E30" s="429">
        <v>21200</v>
      </c>
      <c r="F30" s="546">
        <f t="shared" ref="F30:F36" si="1">ROUND((D30*E30),0)</f>
        <v>2329668</v>
      </c>
    </row>
    <row r="31" spans="1:6" ht="26.25" thickBot="1" x14ac:dyDescent="0.25">
      <c r="A31" s="421">
        <v>7.2</v>
      </c>
      <c r="B31" s="437" t="s">
        <v>669</v>
      </c>
      <c r="C31" s="423" t="s">
        <v>749</v>
      </c>
      <c r="D31" s="424">
        <v>24</v>
      </c>
      <c r="E31" s="65">
        <v>38000</v>
      </c>
      <c r="F31" s="546">
        <f t="shared" si="1"/>
        <v>912000</v>
      </c>
    </row>
    <row r="32" spans="1:6" ht="26.25" thickBot="1" x14ac:dyDescent="0.25">
      <c r="A32" s="421">
        <v>7.3</v>
      </c>
      <c r="B32" s="439" t="s">
        <v>63</v>
      </c>
      <c r="C32" s="423" t="s">
        <v>749</v>
      </c>
      <c r="D32" s="424">
        <v>14.4</v>
      </c>
      <c r="E32" s="427">
        <v>83500</v>
      </c>
      <c r="F32" s="546">
        <f t="shared" si="1"/>
        <v>1202400</v>
      </c>
    </row>
    <row r="33" spans="1:6" ht="39" thickBot="1" x14ac:dyDescent="0.25">
      <c r="A33" s="410">
        <v>8</v>
      </c>
      <c r="B33" s="544" t="s">
        <v>65</v>
      </c>
      <c r="C33" s="412"/>
      <c r="D33" s="413"/>
      <c r="E33" s="414"/>
      <c r="F33" s="547"/>
    </row>
    <row r="34" spans="1:6" ht="51.75" thickBot="1" x14ac:dyDescent="0.25">
      <c r="A34" s="421">
        <v>8.1</v>
      </c>
      <c r="B34" s="437" t="s">
        <v>66</v>
      </c>
      <c r="C34" s="423" t="s">
        <v>22</v>
      </c>
      <c r="D34" s="424">
        <v>4</v>
      </c>
      <c r="E34" s="420">
        <v>421500</v>
      </c>
      <c r="F34" s="546">
        <f t="shared" si="1"/>
        <v>1686000</v>
      </c>
    </row>
    <row r="35" spans="1:6" ht="51.75" thickBot="1" x14ac:dyDescent="0.25">
      <c r="A35" s="421">
        <v>8.1999999999999993</v>
      </c>
      <c r="B35" s="437" t="s">
        <v>67</v>
      </c>
      <c r="C35" s="423" t="s">
        <v>14</v>
      </c>
      <c r="D35" s="424">
        <v>1</v>
      </c>
      <c r="E35" s="64">
        <v>176350</v>
      </c>
      <c r="F35" s="546">
        <f t="shared" si="1"/>
        <v>176350</v>
      </c>
    </row>
    <row r="36" spans="1:6" ht="39" thickBot="1" x14ac:dyDescent="0.25">
      <c r="A36" s="421">
        <v>8.3000000000000007</v>
      </c>
      <c r="B36" s="430" t="s">
        <v>68</v>
      </c>
      <c r="C36" s="423" t="s">
        <v>14</v>
      </c>
      <c r="D36" s="424">
        <v>3</v>
      </c>
      <c r="E36" s="71">
        <v>550000</v>
      </c>
      <c r="F36" s="546">
        <f t="shared" si="1"/>
        <v>1650000</v>
      </c>
    </row>
    <row r="37" spans="1:6" ht="13.5" thickBot="1" x14ac:dyDescent="0.25">
      <c r="A37" s="410">
        <v>9</v>
      </c>
      <c r="B37" s="544" t="s">
        <v>69</v>
      </c>
      <c r="C37" s="412"/>
      <c r="D37" s="413"/>
      <c r="E37" s="414"/>
      <c r="F37" s="547"/>
    </row>
    <row r="38" spans="1:6" ht="51.75" thickBot="1" x14ac:dyDescent="0.25">
      <c r="A38" s="421">
        <v>9.1</v>
      </c>
      <c r="B38" s="439" t="s">
        <v>70</v>
      </c>
      <c r="C38" s="423" t="s">
        <v>749</v>
      </c>
      <c r="D38" s="424">
        <v>50</v>
      </c>
      <c r="E38" s="436">
        <v>28500</v>
      </c>
      <c r="F38" s="546">
        <f t="shared" si="0"/>
        <v>1425000</v>
      </c>
    </row>
    <row r="39" spans="1:6" ht="26.25" thickBot="1" x14ac:dyDescent="0.25">
      <c r="A39" s="410">
        <v>10</v>
      </c>
      <c r="B39" s="440" t="s">
        <v>64</v>
      </c>
      <c r="C39" s="412"/>
      <c r="D39" s="413"/>
      <c r="E39" s="414" t="s">
        <v>0</v>
      </c>
      <c r="F39" s="547"/>
    </row>
    <row r="40" spans="1:6" ht="39" thickBot="1" x14ac:dyDescent="0.25">
      <c r="A40" s="421">
        <v>10.1</v>
      </c>
      <c r="B40" s="441" t="s">
        <v>95</v>
      </c>
      <c r="C40" s="423" t="s">
        <v>749</v>
      </c>
      <c r="D40" s="424">
        <v>18</v>
      </c>
      <c r="E40" s="438">
        <v>106315</v>
      </c>
      <c r="F40" s="546">
        <f>ROUND((D40*E40),0)</f>
        <v>1913670</v>
      </c>
    </row>
    <row r="41" spans="1:6" ht="13.5" thickBot="1" x14ac:dyDescent="0.25">
      <c r="A41" s="410">
        <v>11</v>
      </c>
      <c r="B41" s="411" t="s">
        <v>71</v>
      </c>
      <c r="C41" s="412"/>
      <c r="D41" s="413"/>
      <c r="E41" s="414"/>
      <c r="F41" s="547"/>
    </row>
    <row r="42" spans="1:6" ht="25.5" x14ac:dyDescent="0.2">
      <c r="A42" s="423">
        <v>11.1</v>
      </c>
      <c r="B42" s="417" t="s">
        <v>72</v>
      </c>
      <c r="C42" s="423" t="s">
        <v>749</v>
      </c>
      <c r="D42" s="424">
        <v>1.2</v>
      </c>
      <c r="E42" s="420">
        <v>577800</v>
      </c>
      <c r="F42" s="546">
        <f t="shared" si="0"/>
        <v>693360</v>
      </c>
    </row>
    <row r="43" spans="1:6" ht="26.25" thickBot="1" x14ac:dyDescent="0.25">
      <c r="A43" s="421">
        <v>11.2</v>
      </c>
      <c r="B43" s="442" t="s">
        <v>73</v>
      </c>
      <c r="C43" s="423" t="s">
        <v>749</v>
      </c>
      <c r="D43" s="424">
        <v>14.55</v>
      </c>
      <c r="E43" s="71">
        <v>741200</v>
      </c>
      <c r="F43" s="546">
        <f t="shared" si="0"/>
        <v>10784460</v>
      </c>
    </row>
    <row r="44" spans="1:6" ht="13.5" thickBot="1" x14ac:dyDescent="0.25">
      <c r="A44" s="410">
        <v>12</v>
      </c>
      <c r="B44" s="411" t="s">
        <v>74</v>
      </c>
      <c r="C44" s="412"/>
      <c r="D44" s="413"/>
      <c r="E44" s="414"/>
      <c r="F44" s="547"/>
    </row>
    <row r="45" spans="1:6" ht="39" thickBot="1" x14ac:dyDescent="0.25">
      <c r="A45" s="421">
        <v>12.1</v>
      </c>
      <c r="B45" s="439" t="s">
        <v>97</v>
      </c>
      <c r="C45" s="423" t="s">
        <v>75</v>
      </c>
      <c r="D45" s="424">
        <v>120</v>
      </c>
      <c r="E45" s="438">
        <v>5500</v>
      </c>
      <c r="F45" s="546">
        <f t="shared" ref="F45" si="2">ROUND((D45*E45),0)</f>
        <v>660000</v>
      </c>
    </row>
    <row r="46" spans="1:6" ht="13.5" thickBot="1" x14ac:dyDescent="0.25">
      <c r="A46" s="410">
        <v>13</v>
      </c>
      <c r="B46" s="411" t="s">
        <v>98</v>
      </c>
      <c r="C46" s="412"/>
      <c r="D46" s="413"/>
      <c r="E46" s="414"/>
      <c r="F46" s="547"/>
    </row>
    <row r="47" spans="1:6" x14ac:dyDescent="0.2">
      <c r="A47" s="421">
        <v>13.1</v>
      </c>
      <c r="B47" s="428" t="s">
        <v>132</v>
      </c>
      <c r="C47" s="423" t="s">
        <v>29</v>
      </c>
      <c r="D47" s="424">
        <v>1</v>
      </c>
      <c r="E47" s="429">
        <v>1605000</v>
      </c>
      <c r="F47" s="546">
        <f t="shared" ref="F47" si="3">ROUND((D47*E47),0)</f>
        <v>1605000</v>
      </c>
    </row>
    <row r="48" spans="1:6" x14ac:dyDescent="0.2">
      <c r="A48" s="443"/>
      <c r="B48" s="444" t="s">
        <v>660</v>
      </c>
      <c r="C48" s="445"/>
      <c r="D48" s="446"/>
      <c r="E48" s="250"/>
      <c r="F48" s="125">
        <f>ROUND(SUM(F9:F47),0)</f>
        <v>39256640</v>
      </c>
    </row>
    <row r="49" spans="1:6" x14ac:dyDescent="0.2">
      <c r="A49" s="620"/>
      <c r="B49" s="620" t="s">
        <v>77</v>
      </c>
      <c r="C49" s="79"/>
      <c r="D49" s="80"/>
      <c r="E49" s="82"/>
      <c r="F49" s="327"/>
    </row>
    <row r="50" spans="1:6" x14ac:dyDescent="0.2">
      <c r="A50" s="620"/>
      <c r="B50" s="620" t="s">
        <v>78</v>
      </c>
      <c r="C50" s="79"/>
      <c r="D50" s="112" t="s">
        <v>0</v>
      </c>
      <c r="E50" s="82"/>
      <c r="F50" s="347">
        <f>ROUND(F48/1.3495,0)</f>
        <v>29089767</v>
      </c>
    </row>
    <row r="51" spans="1:6" x14ac:dyDescent="0.2">
      <c r="A51" s="620"/>
      <c r="B51" s="620" t="s">
        <v>79</v>
      </c>
      <c r="C51" s="79"/>
      <c r="D51" s="112" t="s">
        <v>0</v>
      </c>
      <c r="E51" s="112">
        <v>0.24</v>
      </c>
      <c r="F51" s="347">
        <f>F50*E51</f>
        <v>6981544.0800000001</v>
      </c>
    </row>
    <row r="52" spans="1:6" x14ac:dyDescent="0.2">
      <c r="A52" s="620"/>
      <c r="B52" s="620" t="s">
        <v>32</v>
      </c>
      <c r="C52" s="79"/>
      <c r="D52" s="112"/>
      <c r="E52" s="112">
        <v>0.05</v>
      </c>
      <c r="F52" s="347">
        <f>F50*E52</f>
        <v>1454488.35</v>
      </c>
    </row>
    <row r="53" spans="1:6" x14ac:dyDescent="0.2">
      <c r="A53" s="620"/>
      <c r="B53" s="620" t="s">
        <v>80</v>
      </c>
      <c r="C53" s="85"/>
      <c r="D53" s="112" t="s">
        <v>0</v>
      </c>
      <c r="E53" s="112">
        <v>0.05</v>
      </c>
      <c r="F53" s="347">
        <f>F50*E53</f>
        <v>1454488.35</v>
      </c>
    </row>
    <row r="54" spans="1:6" x14ac:dyDescent="0.2">
      <c r="A54" s="620"/>
      <c r="B54" s="620" t="s">
        <v>81</v>
      </c>
      <c r="C54" s="85"/>
      <c r="D54" s="424"/>
      <c r="E54" s="112"/>
      <c r="F54" s="347">
        <f>+F50+F51+F52+F53</f>
        <v>38980287.780000001</v>
      </c>
    </row>
    <row r="55" spans="1:6" x14ac:dyDescent="0.2">
      <c r="A55" s="620"/>
      <c r="B55" s="620" t="s">
        <v>82</v>
      </c>
      <c r="C55" s="85"/>
      <c r="D55" s="424"/>
      <c r="E55" s="112">
        <v>0.19</v>
      </c>
      <c r="F55" s="348">
        <f>ROUND(F53*E55,0)</f>
        <v>276353</v>
      </c>
    </row>
    <row r="56" spans="1:6" ht="25.5" x14ac:dyDescent="0.2">
      <c r="A56" s="89"/>
      <c r="B56" s="89" t="s">
        <v>83</v>
      </c>
      <c r="C56" s="85"/>
      <c r="D56" s="424"/>
      <c r="E56" s="87"/>
      <c r="F56" s="111">
        <f>ROUND(SUM(F54+F55),0)</f>
        <v>39256641</v>
      </c>
    </row>
    <row r="59" spans="1:6" x14ac:dyDescent="0.2">
      <c r="A59" s="632" t="s">
        <v>791</v>
      </c>
      <c r="B59" s="632"/>
      <c r="C59" s="632"/>
      <c r="D59" s="632"/>
      <c r="E59" s="632"/>
      <c r="F59" s="632"/>
    </row>
    <row r="60" spans="1:6" x14ac:dyDescent="0.2">
      <c r="A60" s="627" t="s">
        <v>15</v>
      </c>
      <c r="B60" s="627" t="s">
        <v>16</v>
      </c>
      <c r="C60" s="627" t="s">
        <v>33</v>
      </c>
      <c r="D60" s="627" t="s">
        <v>34</v>
      </c>
      <c r="E60" s="627"/>
      <c r="F60" s="627"/>
    </row>
    <row r="61" spans="1:6" x14ac:dyDescent="0.2">
      <c r="A61" s="627"/>
      <c r="B61" s="627"/>
      <c r="C61" s="627"/>
      <c r="D61" s="113" t="s">
        <v>35</v>
      </c>
      <c r="E61" s="113" t="s">
        <v>36</v>
      </c>
      <c r="F61" s="113" t="s">
        <v>37</v>
      </c>
    </row>
    <row r="62" spans="1:6" x14ac:dyDescent="0.2">
      <c r="A62" s="132">
        <v>1</v>
      </c>
      <c r="B62" s="114" t="s">
        <v>38</v>
      </c>
      <c r="C62" s="627"/>
      <c r="D62" s="627"/>
      <c r="E62" s="627"/>
      <c r="F62" s="115"/>
    </row>
    <row r="63" spans="1:6" x14ac:dyDescent="0.2">
      <c r="A63" s="116">
        <v>2</v>
      </c>
      <c r="B63" s="123" t="s">
        <v>656</v>
      </c>
      <c r="C63" s="117" t="s">
        <v>22</v>
      </c>
      <c r="D63" s="118">
        <v>96</v>
      </c>
      <c r="E63" s="119">
        <v>4828</v>
      </c>
      <c r="F63" s="546">
        <f t="shared" ref="F63:F92" si="4">ROUND((D63*E63),0)</f>
        <v>463488</v>
      </c>
    </row>
    <row r="64" spans="1:6" ht="25.5" x14ac:dyDescent="0.2">
      <c r="A64" s="116">
        <f>A63+1</f>
        <v>3</v>
      </c>
      <c r="B64" s="134" t="s">
        <v>18</v>
      </c>
      <c r="C64" s="117" t="s">
        <v>22</v>
      </c>
      <c r="D64" s="118">
        <v>204</v>
      </c>
      <c r="E64" s="119">
        <v>12600</v>
      </c>
      <c r="F64" s="546">
        <f t="shared" si="4"/>
        <v>2570400</v>
      </c>
    </row>
    <row r="65" spans="1:6" x14ac:dyDescent="0.2">
      <c r="A65" s="116">
        <f t="shared" ref="A65:A92" si="5">A64+1</f>
        <v>4</v>
      </c>
      <c r="B65" s="134" t="s">
        <v>19</v>
      </c>
      <c r="C65" s="117" t="s">
        <v>45</v>
      </c>
      <c r="D65" s="118">
        <v>2</v>
      </c>
      <c r="E65" s="119">
        <v>143842</v>
      </c>
      <c r="F65" s="546">
        <f t="shared" si="4"/>
        <v>287684</v>
      </c>
    </row>
    <row r="66" spans="1:6" x14ac:dyDescent="0.2">
      <c r="A66" s="116">
        <f t="shared" si="5"/>
        <v>5</v>
      </c>
      <c r="B66" s="134" t="s">
        <v>20</v>
      </c>
      <c r="C66" s="117" t="s">
        <v>45</v>
      </c>
      <c r="D66" s="118">
        <v>1</v>
      </c>
      <c r="E66" s="119">
        <v>728158</v>
      </c>
      <c r="F66" s="546">
        <f t="shared" si="4"/>
        <v>728158</v>
      </c>
    </row>
    <row r="67" spans="1:6" x14ac:dyDescent="0.2">
      <c r="A67" s="116">
        <f t="shared" si="5"/>
        <v>6</v>
      </c>
      <c r="B67" s="114" t="s">
        <v>48</v>
      </c>
      <c r="C67" s="115"/>
      <c r="D67" s="115"/>
      <c r="E67" s="119"/>
      <c r="F67" s="546" t="s">
        <v>0</v>
      </c>
    </row>
    <row r="68" spans="1:6" x14ac:dyDescent="0.2">
      <c r="A68" s="116">
        <f t="shared" si="5"/>
        <v>7</v>
      </c>
      <c r="B68" s="122" t="s">
        <v>111</v>
      </c>
      <c r="C68" s="117" t="s">
        <v>22</v>
      </c>
      <c r="D68" s="118">
        <v>372</v>
      </c>
      <c r="E68" s="119">
        <v>7065</v>
      </c>
      <c r="F68" s="546">
        <f t="shared" si="4"/>
        <v>2628180</v>
      </c>
    </row>
    <row r="69" spans="1:6" ht="38.25" x14ac:dyDescent="0.2">
      <c r="A69" s="116">
        <f t="shared" si="5"/>
        <v>8</v>
      </c>
      <c r="B69" s="134" t="s">
        <v>192</v>
      </c>
      <c r="C69" s="117" t="s">
        <v>302</v>
      </c>
      <c r="D69" s="118">
        <v>27</v>
      </c>
      <c r="E69" s="119">
        <v>77141</v>
      </c>
      <c r="F69" s="546">
        <f t="shared" si="4"/>
        <v>2082807</v>
      </c>
    </row>
    <row r="70" spans="1:6" x14ac:dyDescent="0.2">
      <c r="A70" s="116">
        <f t="shared" si="5"/>
        <v>9</v>
      </c>
      <c r="B70" s="114" t="s">
        <v>51</v>
      </c>
      <c r="C70" s="115"/>
      <c r="D70" s="115"/>
      <c r="E70" s="119"/>
      <c r="F70" s="546" t="s">
        <v>0</v>
      </c>
    </row>
    <row r="71" spans="1:6" x14ac:dyDescent="0.2">
      <c r="A71" s="116">
        <f t="shared" si="5"/>
        <v>10</v>
      </c>
      <c r="B71" s="134" t="s">
        <v>147</v>
      </c>
      <c r="C71" s="117" t="s">
        <v>302</v>
      </c>
      <c r="D71" s="118">
        <v>273</v>
      </c>
      <c r="E71" s="119">
        <v>24368</v>
      </c>
      <c r="F71" s="546">
        <f t="shared" si="4"/>
        <v>6652464</v>
      </c>
    </row>
    <row r="72" spans="1:6" x14ac:dyDescent="0.2">
      <c r="A72" s="116">
        <f t="shared" si="5"/>
        <v>11</v>
      </c>
      <c r="B72" s="123" t="s">
        <v>197</v>
      </c>
      <c r="C72" s="117" t="s">
        <v>22</v>
      </c>
      <c r="D72" s="118">
        <v>96</v>
      </c>
      <c r="E72" s="119">
        <v>28823</v>
      </c>
      <c r="F72" s="546">
        <f t="shared" si="4"/>
        <v>2767008</v>
      </c>
    </row>
    <row r="73" spans="1:6" ht="25.5" x14ac:dyDescent="0.2">
      <c r="A73" s="116">
        <f t="shared" si="5"/>
        <v>12</v>
      </c>
      <c r="B73" s="121" t="s">
        <v>384</v>
      </c>
      <c r="C73" s="117" t="s">
        <v>302</v>
      </c>
      <c r="D73" s="118">
        <v>108</v>
      </c>
      <c r="E73" s="119">
        <v>30324</v>
      </c>
      <c r="F73" s="546">
        <f t="shared" si="4"/>
        <v>3274992</v>
      </c>
    </row>
    <row r="74" spans="1:6" x14ac:dyDescent="0.2">
      <c r="A74" s="116">
        <f t="shared" si="5"/>
        <v>13</v>
      </c>
      <c r="B74" s="114" t="s">
        <v>148</v>
      </c>
      <c r="C74" s="115"/>
      <c r="D74" s="115"/>
      <c r="E74" s="119"/>
      <c r="F74" s="546" t="s">
        <v>0</v>
      </c>
    </row>
    <row r="75" spans="1:6" ht="25.5" x14ac:dyDescent="0.2">
      <c r="A75" s="116">
        <f t="shared" si="5"/>
        <v>14</v>
      </c>
      <c r="B75" s="134" t="s">
        <v>792</v>
      </c>
      <c r="C75" s="117" t="s">
        <v>22</v>
      </c>
      <c r="D75" s="118">
        <v>96</v>
      </c>
      <c r="E75" s="119">
        <f>12*1835</f>
        <v>22020</v>
      </c>
      <c r="F75" s="546">
        <f t="shared" si="4"/>
        <v>2113920</v>
      </c>
    </row>
    <row r="76" spans="1:6" ht="38.25" x14ac:dyDescent="0.2">
      <c r="A76" s="116">
        <f t="shared" si="5"/>
        <v>15</v>
      </c>
      <c r="B76" s="122" t="s">
        <v>149</v>
      </c>
      <c r="C76" s="117" t="s">
        <v>22</v>
      </c>
      <c r="D76" s="118">
        <v>1</v>
      </c>
      <c r="E76" s="119">
        <v>590196</v>
      </c>
      <c r="F76" s="546">
        <f t="shared" si="4"/>
        <v>590196</v>
      </c>
    </row>
    <row r="77" spans="1:6" ht="38.25" x14ac:dyDescent="0.2">
      <c r="A77" s="116">
        <f t="shared" si="5"/>
        <v>16</v>
      </c>
      <c r="B77" s="121" t="s">
        <v>657</v>
      </c>
      <c r="C77" s="117" t="s">
        <v>116</v>
      </c>
      <c r="D77" s="118">
        <v>2</v>
      </c>
      <c r="E77" s="119">
        <v>580000</v>
      </c>
      <c r="F77" s="546">
        <f t="shared" si="4"/>
        <v>1160000</v>
      </c>
    </row>
    <row r="78" spans="1:6" x14ac:dyDescent="0.2">
      <c r="A78" s="116">
        <f t="shared" si="5"/>
        <v>17</v>
      </c>
      <c r="B78" s="123" t="s">
        <v>151</v>
      </c>
      <c r="C78" s="117" t="s">
        <v>116</v>
      </c>
      <c r="D78" s="118">
        <v>2</v>
      </c>
      <c r="E78" s="119">
        <v>500414</v>
      </c>
      <c r="F78" s="546">
        <f t="shared" si="4"/>
        <v>1000828</v>
      </c>
    </row>
    <row r="79" spans="1:6" ht="25.5" x14ac:dyDescent="0.2">
      <c r="A79" s="116">
        <f t="shared" si="5"/>
        <v>18</v>
      </c>
      <c r="B79" s="134" t="s">
        <v>23</v>
      </c>
      <c r="C79" s="117" t="s">
        <v>22</v>
      </c>
      <c r="D79" s="118">
        <v>90</v>
      </c>
      <c r="E79" s="119">
        <v>12780</v>
      </c>
      <c r="F79" s="546">
        <f t="shared" si="4"/>
        <v>1150200</v>
      </c>
    </row>
    <row r="80" spans="1:6" ht="25.5" x14ac:dyDescent="0.2">
      <c r="A80" s="116">
        <f t="shared" si="5"/>
        <v>19</v>
      </c>
      <c r="B80" s="121" t="s">
        <v>24</v>
      </c>
      <c r="C80" s="117" t="s">
        <v>45</v>
      </c>
      <c r="D80" s="118">
        <v>15</v>
      </c>
      <c r="E80" s="119">
        <v>370202</v>
      </c>
      <c r="F80" s="546">
        <f t="shared" si="4"/>
        <v>5553030</v>
      </c>
    </row>
    <row r="81" spans="1:6" x14ac:dyDescent="0.2">
      <c r="A81" s="116">
        <f t="shared" si="5"/>
        <v>20</v>
      </c>
      <c r="B81" s="134" t="s">
        <v>793</v>
      </c>
      <c r="C81" s="117" t="s">
        <v>45</v>
      </c>
      <c r="D81" s="118">
        <v>15</v>
      </c>
      <c r="E81" s="119">
        <v>40262</v>
      </c>
      <c r="F81" s="546">
        <f t="shared" si="4"/>
        <v>603930</v>
      </c>
    </row>
    <row r="82" spans="1:6" x14ac:dyDescent="0.2">
      <c r="A82" s="116">
        <f t="shared" si="5"/>
        <v>21</v>
      </c>
      <c r="B82" s="123" t="s">
        <v>152</v>
      </c>
      <c r="C82" s="117" t="s">
        <v>45</v>
      </c>
      <c r="D82" s="118">
        <v>2</v>
      </c>
      <c r="E82" s="119">
        <v>83623</v>
      </c>
      <c r="F82" s="546">
        <f t="shared" si="4"/>
        <v>167246</v>
      </c>
    </row>
    <row r="83" spans="1:6" x14ac:dyDescent="0.2">
      <c r="A83" s="116">
        <f t="shared" si="5"/>
        <v>22</v>
      </c>
      <c r="B83" s="114" t="s">
        <v>120</v>
      </c>
      <c r="C83" s="115"/>
      <c r="D83" s="115"/>
      <c r="E83" s="119"/>
      <c r="F83" s="546" t="s">
        <v>0</v>
      </c>
    </row>
    <row r="84" spans="1:6" x14ac:dyDescent="0.2">
      <c r="A84" s="116">
        <f t="shared" si="5"/>
        <v>23</v>
      </c>
      <c r="B84" s="123" t="s">
        <v>25</v>
      </c>
      <c r="C84" s="117" t="s">
        <v>302</v>
      </c>
      <c r="D84" s="118">
        <v>34</v>
      </c>
      <c r="E84" s="119">
        <v>111720</v>
      </c>
      <c r="F84" s="546">
        <f t="shared" si="4"/>
        <v>3798480</v>
      </c>
    </row>
    <row r="85" spans="1:6" ht="25.5" x14ac:dyDescent="0.2">
      <c r="A85" s="116">
        <f t="shared" si="5"/>
        <v>24</v>
      </c>
      <c r="B85" s="134" t="s">
        <v>121</v>
      </c>
      <c r="C85" s="117" t="s">
        <v>302</v>
      </c>
      <c r="D85" s="118">
        <v>192</v>
      </c>
      <c r="E85" s="119">
        <v>20492</v>
      </c>
      <c r="F85" s="546">
        <f t="shared" si="4"/>
        <v>3934464</v>
      </c>
    </row>
    <row r="86" spans="1:6" x14ac:dyDescent="0.2">
      <c r="A86" s="116">
        <f t="shared" si="5"/>
        <v>25</v>
      </c>
      <c r="B86" s="121" t="s">
        <v>153</v>
      </c>
      <c r="C86" s="117" t="s">
        <v>302</v>
      </c>
      <c r="D86" s="118">
        <v>36</v>
      </c>
      <c r="E86" s="119">
        <v>134118</v>
      </c>
      <c r="F86" s="546">
        <f t="shared" si="4"/>
        <v>4828248</v>
      </c>
    </row>
    <row r="87" spans="1:6" x14ac:dyDescent="0.2">
      <c r="A87" s="116">
        <f t="shared" si="5"/>
        <v>26</v>
      </c>
      <c r="B87" s="114" t="s">
        <v>123</v>
      </c>
      <c r="C87" s="115"/>
      <c r="D87" s="115"/>
      <c r="E87" s="119"/>
      <c r="F87" s="546" t="s">
        <v>0</v>
      </c>
    </row>
    <row r="88" spans="1:6" ht="25.5" x14ac:dyDescent="0.2">
      <c r="A88" s="116">
        <f t="shared" si="5"/>
        <v>27</v>
      </c>
      <c r="B88" s="134" t="s">
        <v>154</v>
      </c>
      <c r="C88" s="117" t="s">
        <v>302</v>
      </c>
      <c r="D88" s="118">
        <v>1</v>
      </c>
      <c r="E88" s="119">
        <v>560630</v>
      </c>
      <c r="F88" s="546">
        <f t="shared" si="4"/>
        <v>560630</v>
      </c>
    </row>
    <row r="89" spans="1:6" ht="25.5" x14ac:dyDescent="0.2">
      <c r="A89" s="116">
        <f t="shared" si="5"/>
        <v>28</v>
      </c>
      <c r="B89" s="134" t="s">
        <v>195</v>
      </c>
      <c r="C89" s="117" t="s">
        <v>302</v>
      </c>
      <c r="D89" s="118">
        <v>27</v>
      </c>
      <c r="E89" s="119">
        <v>761360</v>
      </c>
      <c r="F89" s="546">
        <f t="shared" si="4"/>
        <v>20556720</v>
      </c>
    </row>
    <row r="90" spans="1:6" x14ac:dyDescent="0.2">
      <c r="A90" s="116">
        <f t="shared" si="5"/>
        <v>29</v>
      </c>
      <c r="B90" s="114" t="s">
        <v>74</v>
      </c>
      <c r="C90" s="115"/>
      <c r="D90" s="115"/>
      <c r="E90" s="119"/>
      <c r="F90" s="546" t="s">
        <v>0</v>
      </c>
    </row>
    <row r="91" spans="1:6" x14ac:dyDescent="0.2">
      <c r="A91" s="116">
        <f t="shared" si="5"/>
        <v>30</v>
      </c>
      <c r="B91" s="134" t="s">
        <v>171</v>
      </c>
      <c r="C91" s="117" t="s">
        <v>136</v>
      </c>
      <c r="D91" s="118">
        <v>36</v>
      </c>
      <c r="E91" s="119">
        <v>5484</v>
      </c>
      <c r="F91" s="546">
        <f t="shared" si="4"/>
        <v>197424</v>
      </c>
    </row>
    <row r="92" spans="1:6" ht="25.5" x14ac:dyDescent="0.2">
      <c r="A92" s="116">
        <f t="shared" si="5"/>
        <v>31</v>
      </c>
      <c r="B92" s="134" t="s">
        <v>137</v>
      </c>
      <c r="C92" s="117" t="s">
        <v>99</v>
      </c>
      <c r="D92" s="118">
        <v>1.25</v>
      </c>
      <c r="E92" s="119">
        <v>1549204</v>
      </c>
      <c r="F92" s="546">
        <f t="shared" si="4"/>
        <v>1936505</v>
      </c>
    </row>
    <row r="93" spans="1:6" x14ac:dyDescent="0.2">
      <c r="A93" s="132"/>
      <c r="B93" s="628" t="s">
        <v>385</v>
      </c>
      <c r="C93" s="628"/>
      <c r="D93" s="628"/>
      <c r="E93" s="628"/>
      <c r="F93" s="125">
        <f>ROUND(SUM(F62:F92),0)</f>
        <v>69607002</v>
      </c>
    </row>
    <row r="94" spans="1:6" x14ac:dyDescent="0.2">
      <c r="A94" s="619"/>
      <c r="B94" s="619" t="s">
        <v>77</v>
      </c>
      <c r="C94" s="109"/>
      <c r="D94" s="109"/>
      <c r="E94" s="109"/>
      <c r="F94" s="447"/>
    </row>
    <row r="95" spans="1:6" x14ac:dyDescent="0.2">
      <c r="A95" s="619"/>
      <c r="B95" s="619" t="s">
        <v>78</v>
      </c>
      <c r="C95" s="109"/>
      <c r="D95" s="109"/>
      <c r="E95" s="109"/>
      <c r="F95" s="347">
        <f>ROUND(F93/1.3495,0)</f>
        <v>51579846</v>
      </c>
    </row>
    <row r="96" spans="1:6" x14ac:dyDescent="0.2">
      <c r="A96" s="619"/>
      <c r="B96" s="619" t="s">
        <v>79</v>
      </c>
      <c r="C96" s="109"/>
      <c r="D96" s="109"/>
      <c r="E96" s="112">
        <v>0.24</v>
      </c>
      <c r="F96" s="347">
        <f>F95*E96</f>
        <v>12379163.039999999</v>
      </c>
    </row>
    <row r="97" spans="1:6" x14ac:dyDescent="0.2">
      <c r="A97" s="619"/>
      <c r="B97" s="619" t="s">
        <v>32</v>
      </c>
      <c r="C97" s="109"/>
      <c r="D97" s="109"/>
      <c r="E97" s="112">
        <v>0.05</v>
      </c>
      <c r="F97" s="347">
        <f>F95*E97</f>
        <v>2578992.3000000003</v>
      </c>
    </row>
    <row r="98" spans="1:6" x14ac:dyDescent="0.2">
      <c r="A98" s="619"/>
      <c r="B98" s="619" t="s">
        <v>80</v>
      </c>
      <c r="C98" s="85"/>
      <c r="D98" s="85"/>
      <c r="E98" s="112">
        <v>0.05</v>
      </c>
      <c r="F98" s="347">
        <f>F95*E98</f>
        <v>2578992.3000000003</v>
      </c>
    </row>
    <row r="99" spans="1:6" x14ac:dyDescent="0.2">
      <c r="A99" s="619"/>
      <c r="B99" s="619" t="s">
        <v>81</v>
      </c>
      <c r="C99" s="85"/>
      <c r="D99" s="85"/>
      <c r="E99" s="112"/>
      <c r="F99" s="347">
        <f>+F95+F96+F97+F98</f>
        <v>69116993.640000001</v>
      </c>
    </row>
    <row r="100" spans="1:6" x14ac:dyDescent="0.2">
      <c r="A100" s="619"/>
      <c r="B100" s="619" t="s">
        <v>82</v>
      </c>
      <c r="C100" s="85"/>
      <c r="D100" s="85"/>
      <c r="E100" s="112">
        <v>0.19</v>
      </c>
      <c r="F100" s="348">
        <f>ROUND(F98*E100,0)</f>
        <v>490009</v>
      </c>
    </row>
    <row r="101" spans="1:6" ht="25.5" x14ac:dyDescent="0.2">
      <c r="A101" s="115"/>
      <c r="B101" s="89" t="s">
        <v>83</v>
      </c>
      <c r="C101" s="608"/>
      <c r="D101" s="608"/>
      <c r="E101" s="608"/>
      <c r="F101" s="111">
        <f>ROUND(SUM(F99+F100),0)</f>
        <v>69607003</v>
      </c>
    </row>
    <row r="104" spans="1:6" ht="54" customHeight="1" x14ac:dyDescent="0.2">
      <c r="A104" s="680" t="s">
        <v>560</v>
      </c>
      <c r="B104" s="681"/>
      <c r="C104" s="681"/>
      <c r="D104" s="681"/>
      <c r="E104" s="681"/>
      <c r="F104" s="682"/>
    </row>
    <row r="105" spans="1:6" x14ac:dyDescent="0.2">
      <c r="A105" s="655" t="s">
        <v>15</v>
      </c>
      <c r="B105" s="655" t="s">
        <v>16</v>
      </c>
      <c r="C105" s="115" t="s">
        <v>0</v>
      </c>
      <c r="D105" s="115"/>
      <c r="E105" s="627"/>
      <c r="F105" s="627"/>
    </row>
    <row r="106" spans="1:6" x14ac:dyDescent="0.2">
      <c r="A106" s="656"/>
      <c r="B106" s="656"/>
      <c r="C106" s="132" t="s">
        <v>17</v>
      </c>
      <c r="D106" s="448" t="s">
        <v>535</v>
      </c>
      <c r="E106" s="449" t="s">
        <v>537</v>
      </c>
      <c r="F106" s="132" t="s">
        <v>536</v>
      </c>
    </row>
    <row r="107" spans="1:6" x14ac:dyDescent="0.2">
      <c r="A107" s="132">
        <v>1</v>
      </c>
      <c r="B107" s="132" t="s">
        <v>38</v>
      </c>
      <c r="C107" s="132"/>
      <c r="D107" s="132"/>
      <c r="E107" s="449"/>
      <c r="F107" s="132"/>
    </row>
    <row r="108" spans="1:6" x14ac:dyDescent="0.2">
      <c r="A108" s="133">
        <f>+A107+1</f>
        <v>2</v>
      </c>
      <c r="B108" s="121" t="s">
        <v>538</v>
      </c>
      <c r="C108" s="133" t="s">
        <v>22</v>
      </c>
      <c r="D108" s="450">
        <v>499</v>
      </c>
      <c r="E108" s="450">
        <v>4874</v>
      </c>
      <c r="F108" s="451">
        <f>ROUND(D108*E108,0)</f>
        <v>2432126</v>
      </c>
    </row>
    <row r="109" spans="1:6" ht="25.5" x14ac:dyDescent="0.2">
      <c r="A109" s="133">
        <f>A108+1</f>
        <v>3</v>
      </c>
      <c r="B109" s="121" t="s">
        <v>18</v>
      </c>
      <c r="C109" s="133" t="s">
        <v>22</v>
      </c>
      <c r="D109" s="450">
        <v>961</v>
      </c>
      <c r="E109" s="450">
        <v>8593</v>
      </c>
      <c r="F109" s="451">
        <f t="shared" ref="F109:F140" si="6">ROUND(D109*E109,0)</f>
        <v>8257873</v>
      </c>
    </row>
    <row r="110" spans="1:6" x14ac:dyDescent="0.2">
      <c r="A110" s="133">
        <f t="shared" ref="A110:A140" si="7">+A109+1</f>
        <v>4</v>
      </c>
      <c r="B110" s="121" t="s">
        <v>19</v>
      </c>
      <c r="C110" s="133" t="s">
        <v>14</v>
      </c>
      <c r="D110" s="450">
        <v>7</v>
      </c>
      <c r="E110" s="450">
        <v>145213</v>
      </c>
      <c r="F110" s="451">
        <f t="shared" si="6"/>
        <v>1016491</v>
      </c>
    </row>
    <row r="111" spans="1:6" x14ac:dyDescent="0.2">
      <c r="A111" s="133">
        <f t="shared" si="7"/>
        <v>5</v>
      </c>
      <c r="B111" s="121" t="s">
        <v>110</v>
      </c>
      <c r="C111" s="133" t="s">
        <v>17</v>
      </c>
      <c r="D111" s="450">
        <v>1</v>
      </c>
      <c r="E111" s="450">
        <v>735100</v>
      </c>
      <c r="F111" s="451">
        <f t="shared" si="6"/>
        <v>735100</v>
      </c>
    </row>
    <row r="112" spans="1:6" x14ac:dyDescent="0.2">
      <c r="A112" s="133">
        <f t="shared" si="7"/>
        <v>6</v>
      </c>
      <c r="B112" s="115" t="s">
        <v>48</v>
      </c>
      <c r="C112" s="116"/>
      <c r="D112" s="450"/>
      <c r="E112" s="452"/>
      <c r="F112" s="451" t="s">
        <v>0</v>
      </c>
    </row>
    <row r="113" spans="1:6" x14ac:dyDescent="0.2">
      <c r="A113" s="133">
        <f t="shared" si="7"/>
        <v>7</v>
      </c>
      <c r="B113" s="121" t="s">
        <v>111</v>
      </c>
      <c r="C113" s="116" t="s">
        <v>22</v>
      </c>
      <c r="D113" s="450">
        <v>434</v>
      </c>
      <c r="E113" s="452">
        <v>7134</v>
      </c>
      <c r="F113" s="451">
        <f t="shared" si="6"/>
        <v>3096156</v>
      </c>
    </row>
    <row r="114" spans="1:6" ht="38.25" x14ac:dyDescent="0.2">
      <c r="A114" s="133">
        <f t="shared" si="7"/>
        <v>8</v>
      </c>
      <c r="B114" s="363" t="s">
        <v>539</v>
      </c>
      <c r="C114" s="453" t="s">
        <v>763</v>
      </c>
      <c r="D114" s="450">
        <v>37</v>
      </c>
      <c r="E114" s="452">
        <v>77876</v>
      </c>
      <c r="F114" s="451">
        <f t="shared" si="6"/>
        <v>2881412</v>
      </c>
    </row>
    <row r="115" spans="1:6" x14ac:dyDescent="0.2">
      <c r="A115" s="133">
        <f t="shared" si="7"/>
        <v>9</v>
      </c>
      <c r="B115" s="215" t="s">
        <v>51</v>
      </c>
      <c r="C115" s="133"/>
      <c r="D115" s="450"/>
      <c r="E115" s="452"/>
      <c r="F115" s="451" t="s">
        <v>0</v>
      </c>
    </row>
    <row r="116" spans="1:6" x14ac:dyDescent="0.2">
      <c r="A116" s="133">
        <f t="shared" si="7"/>
        <v>10</v>
      </c>
      <c r="B116" s="121" t="s">
        <v>540</v>
      </c>
      <c r="C116" s="133" t="s">
        <v>12</v>
      </c>
      <c r="D116" s="450">
        <v>997</v>
      </c>
      <c r="E116" s="450">
        <v>24600</v>
      </c>
      <c r="F116" s="451">
        <f t="shared" si="6"/>
        <v>24526200</v>
      </c>
    </row>
    <row r="117" spans="1:6" x14ac:dyDescent="0.2">
      <c r="A117" s="133">
        <f t="shared" si="7"/>
        <v>11</v>
      </c>
      <c r="B117" s="121" t="s">
        <v>541</v>
      </c>
      <c r="C117" s="133" t="s">
        <v>12</v>
      </c>
      <c r="D117" s="450">
        <v>20</v>
      </c>
      <c r="E117" s="450">
        <v>68900</v>
      </c>
      <c r="F117" s="451">
        <f t="shared" si="6"/>
        <v>1378000</v>
      </c>
    </row>
    <row r="118" spans="1:6" x14ac:dyDescent="0.2">
      <c r="A118" s="133">
        <f t="shared" si="7"/>
        <v>12</v>
      </c>
      <c r="B118" s="121" t="s">
        <v>26</v>
      </c>
      <c r="C118" s="133" t="s">
        <v>22</v>
      </c>
      <c r="D118" s="450">
        <v>438</v>
      </c>
      <c r="E118" s="450">
        <v>29100</v>
      </c>
      <c r="F118" s="451">
        <f t="shared" si="6"/>
        <v>12745800</v>
      </c>
    </row>
    <row r="119" spans="1:6" ht="25.5" x14ac:dyDescent="0.2">
      <c r="A119" s="133">
        <f t="shared" si="7"/>
        <v>13</v>
      </c>
      <c r="B119" s="121" t="s">
        <v>21</v>
      </c>
      <c r="C119" s="133" t="s">
        <v>12</v>
      </c>
      <c r="D119" s="450">
        <v>226</v>
      </c>
      <c r="E119" s="450">
        <v>30613</v>
      </c>
      <c r="F119" s="451">
        <f t="shared" si="6"/>
        <v>6918538</v>
      </c>
    </row>
    <row r="120" spans="1:6" ht="25.5" x14ac:dyDescent="0.2">
      <c r="A120" s="133">
        <f t="shared" si="7"/>
        <v>14</v>
      </c>
      <c r="B120" s="215" t="s">
        <v>128</v>
      </c>
      <c r="C120" s="209"/>
      <c r="D120" s="454"/>
      <c r="E120" s="452"/>
      <c r="F120" s="451" t="s">
        <v>0</v>
      </c>
    </row>
    <row r="121" spans="1:6" ht="25.5" x14ac:dyDescent="0.2">
      <c r="A121" s="133">
        <f t="shared" si="7"/>
        <v>15</v>
      </c>
      <c r="B121" s="121" t="s">
        <v>542</v>
      </c>
      <c r="C121" s="133" t="s">
        <v>22</v>
      </c>
      <c r="D121" s="450">
        <v>476</v>
      </c>
      <c r="E121" s="450">
        <v>22235</v>
      </c>
      <c r="F121" s="451">
        <f t="shared" si="6"/>
        <v>10583860</v>
      </c>
    </row>
    <row r="122" spans="1:6" ht="25.5" x14ac:dyDescent="0.2">
      <c r="A122" s="133">
        <f t="shared" si="7"/>
        <v>16</v>
      </c>
      <c r="B122" s="121" t="s">
        <v>543</v>
      </c>
      <c r="C122" s="133" t="s">
        <v>22</v>
      </c>
      <c r="D122" s="450">
        <v>60</v>
      </c>
      <c r="E122" s="450">
        <v>37040</v>
      </c>
      <c r="F122" s="451">
        <f t="shared" si="6"/>
        <v>2222400</v>
      </c>
    </row>
    <row r="123" spans="1:6" ht="38.25" x14ac:dyDescent="0.2">
      <c r="A123" s="133">
        <f t="shared" si="7"/>
        <v>17</v>
      </c>
      <c r="B123" s="121" t="s">
        <v>544</v>
      </c>
      <c r="C123" s="133" t="s">
        <v>22</v>
      </c>
      <c r="D123" s="450">
        <v>19</v>
      </c>
      <c r="E123" s="450">
        <v>595816</v>
      </c>
      <c r="F123" s="451">
        <f t="shared" si="6"/>
        <v>11320504</v>
      </c>
    </row>
    <row r="124" spans="1:6" x14ac:dyDescent="0.2">
      <c r="A124" s="133">
        <f t="shared" si="7"/>
        <v>18</v>
      </c>
      <c r="B124" s="121" t="s">
        <v>545</v>
      </c>
      <c r="C124" s="133" t="s">
        <v>17</v>
      </c>
      <c r="D124" s="450">
        <v>8</v>
      </c>
      <c r="E124" s="450">
        <v>506000</v>
      </c>
      <c r="F124" s="451">
        <f t="shared" si="6"/>
        <v>4048000</v>
      </c>
    </row>
    <row r="125" spans="1:6" ht="51" x14ac:dyDescent="0.2">
      <c r="A125" s="133">
        <f t="shared" si="7"/>
        <v>19</v>
      </c>
      <c r="B125" s="455" t="s">
        <v>546</v>
      </c>
      <c r="C125" s="133" t="s">
        <v>14</v>
      </c>
      <c r="D125" s="450">
        <v>6</v>
      </c>
      <c r="E125" s="450">
        <v>450000</v>
      </c>
      <c r="F125" s="451">
        <f t="shared" si="6"/>
        <v>2700000</v>
      </c>
    </row>
    <row r="126" spans="1:6" ht="25.5" x14ac:dyDescent="0.2">
      <c r="A126" s="133">
        <f>A125+1</f>
        <v>20</v>
      </c>
      <c r="B126" s="121" t="s">
        <v>547</v>
      </c>
      <c r="C126" s="133" t="s">
        <v>22</v>
      </c>
      <c r="D126" s="450">
        <v>315</v>
      </c>
      <c r="E126" s="450">
        <v>12900</v>
      </c>
      <c r="F126" s="451">
        <f t="shared" si="6"/>
        <v>4063500</v>
      </c>
    </row>
    <row r="127" spans="1:6" ht="25.5" x14ac:dyDescent="0.2">
      <c r="A127" s="133">
        <f t="shared" si="7"/>
        <v>21</v>
      </c>
      <c r="B127" s="121" t="s">
        <v>548</v>
      </c>
      <c r="C127" s="133" t="s">
        <v>14</v>
      </c>
      <c r="D127" s="450">
        <v>63</v>
      </c>
      <c r="E127" s="450">
        <v>373800</v>
      </c>
      <c r="F127" s="451">
        <f t="shared" si="6"/>
        <v>23549400</v>
      </c>
    </row>
    <row r="128" spans="1:6" ht="25.5" x14ac:dyDescent="0.2">
      <c r="A128" s="133">
        <f t="shared" si="7"/>
        <v>22</v>
      </c>
      <c r="B128" s="121" t="s">
        <v>549</v>
      </c>
      <c r="C128" s="133" t="s">
        <v>14</v>
      </c>
      <c r="D128" s="450">
        <v>63</v>
      </c>
      <c r="E128" s="450">
        <v>50900</v>
      </c>
      <c r="F128" s="451">
        <f t="shared" si="6"/>
        <v>3206700</v>
      </c>
    </row>
    <row r="129" spans="1:6" x14ac:dyDescent="0.2">
      <c r="A129" s="133">
        <f t="shared" si="7"/>
        <v>23</v>
      </c>
      <c r="B129" s="121" t="s">
        <v>550</v>
      </c>
      <c r="C129" s="133" t="s">
        <v>17</v>
      </c>
      <c r="D129" s="450">
        <v>4</v>
      </c>
      <c r="E129" s="450">
        <v>84500</v>
      </c>
      <c r="F129" s="451">
        <f t="shared" si="6"/>
        <v>338000</v>
      </c>
    </row>
    <row r="130" spans="1:6" x14ac:dyDescent="0.2">
      <c r="A130" s="133">
        <f t="shared" si="7"/>
        <v>24</v>
      </c>
      <c r="B130" s="215" t="s">
        <v>120</v>
      </c>
      <c r="C130" s="133"/>
      <c r="D130" s="450"/>
      <c r="E130" s="456"/>
      <c r="F130" s="451" t="s">
        <v>0</v>
      </c>
    </row>
    <row r="131" spans="1:6" x14ac:dyDescent="0.2">
      <c r="A131" s="133">
        <f t="shared" si="7"/>
        <v>25</v>
      </c>
      <c r="B131" s="121" t="s">
        <v>25</v>
      </c>
      <c r="C131" s="133" t="s">
        <v>12</v>
      </c>
      <c r="D131" s="450">
        <v>108</v>
      </c>
      <c r="E131" s="450">
        <v>112800</v>
      </c>
      <c r="F131" s="451">
        <f t="shared" si="6"/>
        <v>12182400</v>
      </c>
    </row>
    <row r="132" spans="1:6" ht="25.5" x14ac:dyDescent="0.2">
      <c r="A132" s="133">
        <f t="shared" si="7"/>
        <v>26</v>
      </c>
      <c r="B132" s="121" t="s">
        <v>551</v>
      </c>
      <c r="C132" s="133" t="s">
        <v>12</v>
      </c>
      <c r="D132" s="450">
        <v>118</v>
      </c>
      <c r="E132" s="450">
        <v>63600</v>
      </c>
      <c r="F132" s="451">
        <f t="shared" si="6"/>
        <v>7504800</v>
      </c>
    </row>
    <row r="133" spans="1:6" ht="25.5" x14ac:dyDescent="0.2">
      <c r="A133" s="133">
        <f t="shared" si="7"/>
        <v>27</v>
      </c>
      <c r="B133" s="121" t="s">
        <v>552</v>
      </c>
      <c r="C133" s="133" t="s">
        <v>12</v>
      </c>
      <c r="D133" s="450">
        <v>946</v>
      </c>
      <c r="E133" s="450">
        <v>20680</v>
      </c>
      <c r="F133" s="451">
        <f t="shared" si="6"/>
        <v>19563280</v>
      </c>
    </row>
    <row r="134" spans="1:6" x14ac:dyDescent="0.2">
      <c r="A134" s="133">
        <f t="shared" si="7"/>
        <v>28</v>
      </c>
      <c r="B134" s="121" t="s">
        <v>553</v>
      </c>
      <c r="C134" s="133" t="s">
        <v>12</v>
      </c>
      <c r="D134" s="450">
        <v>56</v>
      </c>
      <c r="E134" s="450">
        <v>135400</v>
      </c>
      <c r="F134" s="451">
        <f t="shared" si="6"/>
        <v>7582400</v>
      </c>
    </row>
    <row r="135" spans="1:6" x14ac:dyDescent="0.2">
      <c r="A135" s="133">
        <f t="shared" si="7"/>
        <v>29</v>
      </c>
      <c r="B135" s="215" t="s">
        <v>123</v>
      </c>
      <c r="C135" s="133"/>
      <c r="D135" s="450"/>
      <c r="E135" s="456"/>
      <c r="F135" s="451" t="s">
        <v>0</v>
      </c>
    </row>
    <row r="136" spans="1:6" ht="25.5" x14ac:dyDescent="0.2">
      <c r="A136" s="133">
        <f t="shared" si="7"/>
        <v>30</v>
      </c>
      <c r="B136" s="121" t="s">
        <v>554</v>
      </c>
      <c r="C136" s="133" t="s">
        <v>12</v>
      </c>
      <c r="D136" s="450">
        <v>4</v>
      </c>
      <c r="E136" s="450">
        <v>565900</v>
      </c>
      <c r="F136" s="451">
        <f t="shared" si="6"/>
        <v>2263600</v>
      </c>
    </row>
    <row r="137" spans="1:6" ht="25.5" x14ac:dyDescent="0.2">
      <c r="A137" s="133">
        <f t="shared" si="7"/>
        <v>31</v>
      </c>
      <c r="B137" s="121" t="s">
        <v>555</v>
      </c>
      <c r="C137" s="133" t="s">
        <v>12</v>
      </c>
      <c r="D137" s="450">
        <v>56</v>
      </c>
      <c r="E137" s="450">
        <v>768100</v>
      </c>
      <c r="F137" s="451">
        <f t="shared" si="6"/>
        <v>43013600</v>
      </c>
    </row>
    <row r="138" spans="1:6" x14ac:dyDescent="0.2">
      <c r="A138" s="133">
        <f t="shared" si="7"/>
        <v>32</v>
      </c>
      <c r="B138" s="215" t="s">
        <v>556</v>
      </c>
      <c r="C138" s="133"/>
      <c r="D138" s="450"/>
      <c r="E138" s="456"/>
      <c r="F138" s="451" t="s">
        <v>0</v>
      </c>
    </row>
    <row r="139" spans="1:6" x14ac:dyDescent="0.2">
      <c r="A139" s="133">
        <f t="shared" si="7"/>
        <v>33</v>
      </c>
      <c r="B139" s="121" t="s">
        <v>557</v>
      </c>
      <c r="C139" s="133" t="s">
        <v>75</v>
      </c>
      <c r="D139" s="450">
        <v>50</v>
      </c>
      <c r="E139" s="450">
        <v>5540</v>
      </c>
      <c r="F139" s="451">
        <f t="shared" si="6"/>
        <v>277000</v>
      </c>
    </row>
    <row r="140" spans="1:6" ht="25.5" x14ac:dyDescent="0.2">
      <c r="A140" s="133">
        <f t="shared" si="7"/>
        <v>34</v>
      </c>
      <c r="B140" s="121" t="s">
        <v>558</v>
      </c>
      <c r="C140" s="133" t="s">
        <v>29</v>
      </c>
      <c r="D140" s="450">
        <v>1</v>
      </c>
      <c r="E140" s="450">
        <v>1365405</v>
      </c>
      <c r="F140" s="451">
        <f t="shared" si="6"/>
        <v>1365405</v>
      </c>
    </row>
    <row r="141" spans="1:6" x14ac:dyDescent="0.2">
      <c r="A141" s="133"/>
      <c r="B141" s="215" t="s">
        <v>30</v>
      </c>
      <c r="C141" s="133"/>
      <c r="D141" s="236"/>
      <c r="E141" s="457"/>
      <c r="F141" s="454">
        <f>ROUND(SUM(F108:F140),0)</f>
        <v>219772545</v>
      </c>
    </row>
    <row r="142" spans="1:6" x14ac:dyDescent="0.2">
      <c r="A142" s="613"/>
      <c r="B142" s="613" t="s">
        <v>77</v>
      </c>
      <c r="C142" s="78"/>
      <c r="D142" s="78"/>
      <c r="E142" s="78"/>
      <c r="F142" s="78"/>
    </row>
    <row r="143" spans="1:6" x14ac:dyDescent="0.2">
      <c r="A143" s="613"/>
      <c r="B143" s="613" t="s">
        <v>78</v>
      </c>
      <c r="C143" s="78"/>
      <c r="D143" s="78"/>
      <c r="E143" s="78"/>
      <c r="F143" s="615">
        <f>ROUND(F141/1.3495,0)</f>
        <v>162854794</v>
      </c>
    </row>
    <row r="144" spans="1:6" x14ac:dyDescent="0.2">
      <c r="A144" s="613"/>
      <c r="B144" s="613" t="s">
        <v>79</v>
      </c>
      <c r="C144" s="78"/>
      <c r="D144" s="78"/>
      <c r="E144" s="616">
        <v>0.24</v>
      </c>
      <c r="F144" s="615">
        <f>F143*E144</f>
        <v>39085150.559999995</v>
      </c>
    </row>
    <row r="145" spans="1:6" x14ac:dyDescent="0.2">
      <c r="A145" s="613"/>
      <c r="B145" s="613" t="s">
        <v>32</v>
      </c>
      <c r="C145" s="78"/>
      <c r="D145" s="78"/>
      <c r="E145" s="616">
        <v>0.05</v>
      </c>
      <c r="F145" s="615">
        <f>F143*E145</f>
        <v>8142739.7000000002</v>
      </c>
    </row>
    <row r="146" spans="1:6" x14ac:dyDescent="0.2">
      <c r="A146" s="613"/>
      <c r="B146" s="613" t="s">
        <v>80</v>
      </c>
      <c r="C146" s="84"/>
      <c r="D146" s="84"/>
      <c r="E146" s="616">
        <v>0.05</v>
      </c>
      <c r="F146" s="615">
        <f>F143*E146</f>
        <v>8142739.7000000002</v>
      </c>
    </row>
    <row r="147" spans="1:6" x14ac:dyDescent="0.2">
      <c r="A147" s="613"/>
      <c r="B147" s="613" t="s">
        <v>81</v>
      </c>
      <c r="C147" s="84"/>
      <c r="D147" s="84"/>
      <c r="E147" s="616"/>
      <c r="F147" s="615">
        <f>+F143+F144+F145+F146</f>
        <v>218225423.95999998</v>
      </c>
    </row>
    <row r="148" spans="1:6" x14ac:dyDescent="0.2">
      <c r="A148" s="613"/>
      <c r="B148" s="613" t="s">
        <v>82</v>
      </c>
      <c r="C148" s="84"/>
      <c r="D148" s="84"/>
      <c r="E148" s="616">
        <v>0.19</v>
      </c>
      <c r="F148" s="617">
        <f>ROUND(F146*E148,0)</f>
        <v>1547121</v>
      </c>
    </row>
    <row r="149" spans="1:6" ht="25.5" x14ac:dyDescent="0.2">
      <c r="A149" s="607"/>
      <c r="B149" s="89" t="s">
        <v>83</v>
      </c>
      <c r="C149" s="608"/>
      <c r="D149" s="608"/>
      <c r="E149" s="608"/>
      <c r="F149" s="618">
        <f>ROUND(SUM(F147+F148),0)</f>
        <v>219772545</v>
      </c>
    </row>
    <row r="151" spans="1:6" ht="13.5" thickBot="1" x14ac:dyDescent="0.25"/>
    <row r="152" spans="1:6" ht="46.5" customHeight="1" thickBot="1" x14ac:dyDescent="0.25">
      <c r="A152" s="677" t="s">
        <v>757</v>
      </c>
      <c r="B152" s="678"/>
      <c r="C152" s="678"/>
      <c r="D152" s="678"/>
      <c r="E152" s="678"/>
      <c r="F152" s="679"/>
    </row>
    <row r="153" spans="1:6" ht="13.5" thickBot="1" x14ac:dyDescent="0.25">
      <c r="A153" s="54"/>
      <c r="B153" s="54"/>
      <c r="C153" s="54"/>
      <c r="D153" s="55"/>
      <c r="E153" s="56"/>
      <c r="F153" s="56"/>
    </row>
    <row r="154" spans="1:6" ht="13.5" thickBot="1" x14ac:dyDescent="0.25">
      <c r="A154" s="640" t="s">
        <v>15</v>
      </c>
      <c r="B154" s="642" t="s">
        <v>16</v>
      </c>
      <c r="C154" s="640" t="s">
        <v>33</v>
      </c>
      <c r="D154" s="644" t="s">
        <v>34</v>
      </c>
      <c r="E154" s="645"/>
      <c r="F154" s="646"/>
    </row>
    <row r="155" spans="1:6" ht="13.5" thickBot="1" x14ac:dyDescent="0.25">
      <c r="A155" s="641"/>
      <c r="B155" s="643"/>
      <c r="C155" s="641"/>
      <c r="D155" s="57" t="s">
        <v>35</v>
      </c>
      <c r="E155" s="58" t="s">
        <v>36</v>
      </c>
      <c r="F155" s="59" t="s">
        <v>37</v>
      </c>
    </row>
    <row r="156" spans="1:6" x14ac:dyDescent="0.2">
      <c r="A156" s="241">
        <v>1</v>
      </c>
      <c r="B156" s="242" t="s">
        <v>38</v>
      </c>
      <c r="C156" s="241"/>
      <c r="D156" s="243"/>
      <c r="E156" s="458"/>
      <c r="F156" s="245"/>
    </row>
    <row r="157" spans="1:6" ht="25.5" x14ac:dyDescent="0.2">
      <c r="A157" s="60">
        <v>1.1000000000000001</v>
      </c>
      <c r="B157" s="66" t="s">
        <v>40</v>
      </c>
      <c r="C157" s="62" t="s">
        <v>22</v>
      </c>
      <c r="D157" s="63">
        <v>90</v>
      </c>
      <c r="E157" s="459">
        <v>4867</v>
      </c>
      <c r="F157" s="325">
        <f>ROUND((D157*E157),0)</f>
        <v>438030</v>
      </c>
    </row>
    <row r="158" spans="1:6" ht="25.5" x14ac:dyDescent="0.2">
      <c r="A158" s="60">
        <v>1.2</v>
      </c>
      <c r="B158" s="66" t="s">
        <v>18</v>
      </c>
      <c r="C158" s="62" t="s">
        <v>22</v>
      </c>
      <c r="D158" s="63">
        <v>180</v>
      </c>
      <c r="E158" s="100">
        <v>9200</v>
      </c>
      <c r="F158" s="325">
        <f>ROUND((D158*E158),0)</f>
        <v>1656000</v>
      </c>
    </row>
    <row r="159" spans="1:6" ht="25.5" x14ac:dyDescent="0.2">
      <c r="A159" s="60">
        <v>1.3</v>
      </c>
      <c r="B159" s="66" t="s">
        <v>44</v>
      </c>
      <c r="C159" s="62" t="s">
        <v>45</v>
      </c>
      <c r="D159" s="63">
        <v>2</v>
      </c>
      <c r="E159" s="97">
        <v>171600</v>
      </c>
      <c r="F159" s="325">
        <f>ROUND((D159*E159),0)</f>
        <v>343200</v>
      </c>
    </row>
    <row r="160" spans="1:6" ht="25.5" x14ac:dyDescent="0.2">
      <c r="A160" s="60">
        <v>1.4</v>
      </c>
      <c r="B160" s="66" t="s">
        <v>339</v>
      </c>
      <c r="C160" s="62" t="s">
        <v>45</v>
      </c>
      <c r="D160" s="63">
        <v>1</v>
      </c>
      <c r="E160" s="460">
        <v>662330</v>
      </c>
      <c r="F160" s="325">
        <f>ROUND((D160*E160),0)</f>
        <v>662330</v>
      </c>
    </row>
    <row r="161" spans="1:6" x14ac:dyDescent="0.2">
      <c r="A161" s="246">
        <v>2</v>
      </c>
      <c r="B161" s="258" t="s">
        <v>48</v>
      </c>
      <c r="C161" s="248"/>
      <c r="D161" s="249"/>
      <c r="E161" s="461"/>
      <c r="F161" s="325"/>
    </row>
    <row r="162" spans="1:6" ht="38.25" x14ac:dyDescent="0.2">
      <c r="A162" s="60">
        <v>2.1</v>
      </c>
      <c r="B162" s="61" t="s">
        <v>340</v>
      </c>
      <c r="C162" s="62" t="s">
        <v>12</v>
      </c>
      <c r="D162" s="63">
        <v>7</v>
      </c>
      <c r="E162" s="460">
        <v>83980</v>
      </c>
      <c r="F162" s="325">
        <f>ROUND((D162*E162),0)</f>
        <v>587860</v>
      </c>
    </row>
    <row r="163" spans="1:6" ht="25.5" x14ac:dyDescent="0.2">
      <c r="A163" s="60">
        <v>2.2000000000000002</v>
      </c>
      <c r="B163" s="61" t="s">
        <v>50</v>
      </c>
      <c r="C163" s="62" t="s">
        <v>22</v>
      </c>
      <c r="D163" s="63">
        <v>188</v>
      </c>
      <c r="E163" s="460">
        <v>5500</v>
      </c>
      <c r="F163" s="325">
        <f>ROUND((D163*E163),0)</f>
        <v>1034000</v>
      </c>
    </row>
    <row r="164" spans="1:6" x14ac:dyDescent="0.2">
      <c r="A164" s="246">
        <v>3</v>
      </c>
      <c r="B164" s="258" t="s">
        <v>51</v>
      </c>
      <c r="C164" s="248"/>
      <c r="D164" s="249"/>
      <c r="E164" s="461"/>
      <c r="F164" s="325"/>
    </row>
    <row r="165" spans="1:6" ht="25.5" x14ac:dyDescent="0.2">
      <c r="A165" s="60">
        <v>3.1</v>
      </c>
      <c r="B165" s="66" t="s">
        <v>52</v>
      </c>
      <c r="C165" s="62" t="s">
        <v>12</v>
      </c>
      <c r="D165" s="63">
        <v>40</v>
      </c>
      <c r="E165" s="460">
        <v>25687</v>
      </c>
      <c r="F165" s="325">
        <f t="shared" ref="F165:F167" si="8">ROUND((D165*E165),0)</f>
        <v>1027480</v>
      </c>
    </row>
    <row r="166" spans="1:6" ht="25.5" x14ac:dyDescent="0.2">
      <c r="A166" s="60">
        <v>3.2</v>
      </c>
      <c r="B166" s="66" t="s">
        <v>53</v>
      </c>
      <c r="C166" s="62" t="s">
        <v>12</v>
      </c>
      <c r="D166" s="63">
        <v>30</v>
      </c>
      <c r="E166" s="97">
        <v>31640</v>
      </c>
      <c r="F166" s="325">
        <f t="shared" si="8"/>
        <v>949200</v>
      </c>
    </row>
    <row r="167" spans="1:6" ht="51" x14ac:dyDescent="0.2">
      <c r="A167" s="60">
        <v>3.3</v>
      </c>
      <c r="B167" s="66" t="s">
        <v>679</v>
      </c>
      <c r="C167" s="62" t="s">
        <v>12</v>
      </c>
      <c r="D167" s="63">
        <v>90</v>
      </c>
      <c r="E167" s="97">
        <v>65000</v>
      </c>
      <c r="F167" s="325">
        <f t="shared" si="8"/>
        <v>5850000</v>
      </c>
    </row>
    <row r="168" spans="1:6" x14ac:dyDescent="0.2">
      <c r="A168" s="246">
        <v>4</v>
      </c>
      <c r="B168" s="261" t="s">
        <v>682</v>
      </c>
      <c r="C168" s="62"/>
      <c r="D168" s="63"/>
      <c r="E168" s="97"/>
      <c r="F168" s="325"/>
    </row>
    <row r="169" spans="1:6" ht="51" x14ac:dyDescent="0.2">
      <c r="A169" s="60" t="s">
        <v>186</v>
      </c>
      <c r="B169" s="66" t="s">
        <v>684</v>
      </c>
      <c r="C169" s="62" t="s">
        <v>22</v>
      </c>
      <c r="D169" s="63">
        <v>90</v>
      </c>
      <c r="E169" s="462">
        <v>8500</v>
      </c>
      <c r="F169" s="325">
        <f>ROUND((D169*E169),0)</f>
        <v>765000</v>
      </c>
    </row>
    <row r="170" spans="1:6" ht="38.25" x14ac:dyDescent="0.2">
      <c r="A170" s="60" t="s">
        <v>187</v>
      </c>
      <c r="B170" s="61" t="s">
        <v>685</v>
      </c>
      <c r="C170" s="62" t="s">
        <v>14</v>
      </c>
      <c r="D170" s="63">
        <v>8</v>
      </c>
      <c r="E170" s="462">
        <v>65350</v>
      </c>
      <c r="F170" s="325">
        <f>ROUND((D170*E170),0)</f>
        <v>522800</v>
      </c>
    </row>
    <row r="171" spans="1:6" ht="25.5" x14ac:dyDescent="0.2">
      <c r="A171" s="246">
        <f>A168+1</f>
        <v>5</v>
      </c>
      <c r="B171" s="247" t="s">
        <v>54</v>
      </c>
      <c r="C171" s="248"/>
      <c r="D171" s="249"/>
      <c r="E171" s="463"/>
      <c r="F171" s="325"/>
    </row>
    <row r="172" spans="1:6" ht="25.5" x14ac:dyDescent="0.2">
      <c r="A172" s="60">
        <f>A171+0.1</f>
        <v>5.0999999999999996</v>
      </c>
      <c r="B172" s="61" t="s">
        <v>55</v>
      </c>
      <c r="C172" s="62" t="s">
        <v>22</v>
      </c>
      <c r="D172" s="63">
        <v>48</v>
      </c>
      <c r="E172" s="460">
        <v>13098</v>
      </c>
      <c r="F172" s="325">
        <f>ROUND((D172*E172),0)</f>
        <v>628704</v>
      </c>
    </row>
    <row r="173" spans="1:6" ht="25.5" x14ac:dyDescent="0.2">
      <c r="A173" s="60">
        <f>A172+0.1</f>
        <v>5.1999999999999993</v>
      </c>
      <c r="B173" s="61" t="s">
        <v>91</v>
      </c>
      <c r="C173" s="62" t="s">
        <v>22</v>
      </c>
      <c r="D173" s="63">
        <v>90</v>
      </c>
      <c r="E173" s="460">
        <v>15897</v>
      </c>
      <c r="F173" s="325">
        <f>ROUND((D173*E173),0)</f>
        <v>1430730</v>
      </c>
    </row>
    <row r="174" spans="1:6" ht="38.25" x14ac:dyDescent="0.2">
      <c r="A174" s="60">
        <f>A173+0.1</f>
        <v>5.2999999999999989</v>
      </c>
      <c r="B174" s="61" t="s">
        <v>683</v>
      </c>
      <c r="C174" s="465" t="s">
        <v>14</v>
      </c>
      <c r="D174" s="466">
        <v>8</v>
      </c>
      <c r="E174" s="467">
        <v>65000</v>
      </c>
      <c r="F174" s="549">
        <f>SUM(D174*E174)</f>
        <v>520000</v>
      </c>
    </row>
    <row r="175" spans="1:6" x14ac:dyDescent="0.2">
      <c r="A175" s="246">
        <v>5</v>
      </c>
      <c r="B175" s="258" t="s">
        <v>56</v>
      </c>
      <c r="C175" s="248"/>
      <c r="D175" s="249"/>
      <c r="E175" s="461"/>
      <c r="F175" s="325"/>
    </row>
    <row r="176" spans="1:6" x14ac:dyDescent="0.2">
      <c r="A176" s="60">
        <v>5.0999999999999996</v>
      </c>
      <c r="B176" s="99" t="s">
        <v>57</v>
      </c>
      <c r="C176" s="62" t="s">
        <v>22</v>
      </c>
      <c r="D176" s="63">
        <v>90</v>
      </c>
      <c r="E176" s="460">
        <v>27450</v>
      </c>
      <c r="F176" s="325">
        <f>ROUND((D176*E176),0)</f>
        <v>2470500</v>
      </c>
    </row>
    <row r="177" spans="1:6" ht="25.5" x14ac:dyDescent="0.2">
      <c r="A177" s="246">
        <v>6</v>
      </c>
      <c r="B177" s="247" t="s">
        <v>58</v>
      </c>
      <c r="C177" s="248"/>
      <c r="D177" s="249"/>
      <c r="E177" s="461"/>
      <c r="F177" s="325"/>
    </row>
    <row r="178" spans="1:6" ht="51" x14ac:dyDescent="0.2">
      <c r="A178" s="60">
        <v>6.1</v>
      </c>
      <c r="B178" s="61" t="s">
        <v>59</v>
      </c>
      <c r="C178" s="62" t="s">
        <v>60</v>
      </c>
      <c r="D178" s="63">
        <v>8</v>
      </c>
      <c r="E178" s="459">
        <v>223256</v>
      </c>
      <c r="F178" s="325">
        <f>ROUND((D178*E178),0)</f>
        <v>1786048</v>
      </c>
    </row>
    <row r="179" spans="1:6" x14ac:dyDescent="0.2">
      <c r="A179" s="246">
        <v>7</v>
      </c>
      <c r="B179" s="258" t="s">
        <v>61</v>
      </c>
      <c r="C179" s="248"/>
      <c r="D179" s="249"/>
      <c r="E179" s="461"/>
      <c r="F179" s="325"/>
    </row>
    <row r="180" spans="1:6" x14ac:dyDescent="0.2">
      <c r="A180" s="60">
        <v>7.1</v>
      </c>
      <c r="B180" s="464" t="s">
        <v>62</v>
      </c>
      <c r="C180" s="62" t="s">
        <v>12</v>
      </c>
      <c r="D180" s="63">
        <v>40</v>
      </c>
      <c r="E180" s="460">
        <v>22686</v>
      </c>
      <c r="F180" s="325">
        <f>ROUND((D180*E180),0)</f>
        <v>907440</v>
      </c>
    </row>
    <row r="181" spans="1:6" ht="38.25" x14ac:dyDescent="0.2">
      <c r="A181" s="60">
        <v>7.2</v>
      </c>
      <c r="B181" s="66" t="s">
        <v>341</v>
      </c>
      <c r="C181" s="62" t="s">
        <v>12</v>
      </c>
      <c r="D181" s="63">
        <v>120</v>
      </c>
      <c r="E181" s="460">
        <v>92913</v>
      </c>
      <c r="F181" s="325">
        <f>ROUND((D181*E181),0)</f>
        <v>11149560</v>
      </c>
    </row>
    <row r="182" spans="1:6" x14ac:dyDescent="0.2">
      <c r="A182" s="60">
        <v>7.3</v>
      </c>
      <c r="B182" s="99" t="s">
        <v>63</v>
      </c>
      <c r="C182" s="62" t="s">
        <v>12</v>
      </c>
      <c r="D182" s="63">
        <v>10.5</v>
      </c>
      <c r="E182" s="460">
        <v>104720</v>
      </c>
      <c r="F182" s="325">
        <f>ROUND((D182*E182),0)</f>
        <v>1099560</v>
      </c>
    </row>
    <row r="183" spans="1:6" ht="25.5" x14ac:dyDescent="0.2">
      <c r="A183" s="246">
        <v>8</v>
      </c>
      <c r="B183" s="247" t="s">
        <v>64</v>
      </c>
      <c r="C183" s="248"/>
      <c r="D183" s="249"/>
      <c r="E183" s="461"/>
      <c r="F183" s="325"/>
    </row>
    <row r="184" spans="1:6" ht="38.25" x14ac:dyDescent="0.2">
      <c r="A184" s="60">
        <v>8.1</v>
      </c>
      <c r="B184" s="61" t="s">
        <v>95</v>
      </c>
      <c r="C184" s="62" t="s">
        <v>12</v>
      </c>
      <c r="D184" s="63">
        <v>13.12</v>
      </c>
      <c r="E184" s="459">
        <v>106315</v>
      </c>
      <c r="F184" s="325">
        <f>ROUND((D184*E184),0)</f>
        <v>1394853</v>
      </c>
    </row>
    <row r="185" spans="1:6" ht="38.25" x14ac:dyDescent="0.2">
      <c r="A185" s="246">
        <v>9</v>
      </c>
      <c r="B185" s="247" t="s">
        <v>65</v>
      </c>
      <c r="C185" s="248"/>
      <c r="D185" s="249"/>
      <c r="E185" s="461"/>
      <c r="F185" s="325"/>
    </row>
    <row r="186" spans="1:6" ht="25.5" x14ac:dyDescent="0.2">
      <c r="A186" s="60">
        <v>9.1</v>
      </c>
      <c r="B186" s="61" t="s">
        <v>103</v>
      </c>
      <c r="C186" s="62" t="s">
        <v>14</v>
      </c>
      <c r="D186" s="63">
        <v>4</v>
      </c>
      <c r="E186" s="459">
        <v>92000</v>
      </c>
      <c r="F186" s="325">
        <f>ROUND((D186*E186),0)</f>
        <v>368000</v>
      </c>
    </row>
    <row r="187" spans="1:6" ht="51" x14ac:dyDescent="0.2">
      <c r="A187" s="60">
        <v>9.1999999999999993</v>
      </c>
      <c r="B187" s="61" t="s">
        <v>66</v>
      </c>
      <c r="C187" s="62" t="s">
        <v>22</v>
      </c>
      <c r="D187" s="63">
        <v>6</v>
      </c>
      <c r="E187" s="459">
        <v>451034</v>
      </c>
      <c r="F187" s="325">
        <f>ROUND((D187*E187),0)</f>
        <v>2706204</v>
      </c>
    </row>
    <row r="188" spans="1:6" ht="51" x14ac:dyDescent="0.2">
      <c r="A188" s="60">
        <v>9.3000000000000007</v>
      </c>
      <c r="B188" s="61" t="s">
        <v>67</v>
      </c>
      <c r="C188" s="62" t="s">
        <v>14</v>
      </c>
      <c r="D188" s="63">
        <v>3</v>
      </c>
      <c r="E188" s="459">
        <v>269000</v>
      </c>
      <c r="F188" s="325">
        <f>ROUND((D188*E188),0)</f>
        <v>807000</v>
      </c>
    </row>
    <row r="189" spans="1:6" ht="38.25" x14ac:dyDescent="0.2">
      <c r="A189" s="60">
        <v>9.4</v>
      </c>
      <c r="B189" s="61" t="s">
        <v>342</v>
      </c>
      <c r="C189" s="62" t="s">
        <v>14</v>
      </c>
      <c r="D189" s="63">
        <v>3</v>
      </c>
      <c r="E189" s="459">
        <v>905000</v>
      </c>
      <c r="F189" s="325">
        <f>ROUND((D189*E189),0)</f>
        <v>2715000</v>
      </c>
    </row>
    <row r="190" spans="1:6" x14ac:dyDescent="0.2">
      <c r="A190" s="246">
        <v>10</v>
      </c>
      <c r="B190" s="258" t="s">
        <v>69</v>
      </c>
      <c r="C190" s="248"/>
      <c r="D190" s="249"/>
      <c r="E190" s="461"/>
      <c r="F190" s="325"/>
    </row>
    <row r="191" spans="1:6" ht="51" x14ac:dyDescent="0.2">
      <c r="A191" s="60">
        <v>10.1</v>
      </c>
      <c r="B191" s="61" t="s">
        <v>70</v>
      </c>
      <c r="C191" s="62" t="s">
        <v>12</v>
      </c>
      <c r="D191" s="63">
        <v>137</v>
      </c>
      <c r="E191" s="460">
        <v>28500</v>
      </c>
      <c r="F191" s="325">
        <f>ROUND((D191*E191),0)</f>
        <v>3904500</v>
      </c>
    </row>
    <row r="192" spans="1:6" x14ac:dyDescent="0.2">
      <c r="A192" s="246">
        <v>11</v>
      </c>
      <c r="B192" s="258" t="s">
        <v>71</v>
      </c>
      <c r="C192" s="248"/>
      <c r="D192" s="249"/>
      <c r="E192" s="461"/>
      <c r="F192" s="325"/>
    </row>
    <row r="193" spans="1:6" ht="25.5" x14ac:dyDescent="0.2">
      <c r="A193" s="62">
        <v>11.1</v>
      </c>
      <c r="B193" s="66" t="s">
        <v>72</v>
      </c>
      <c r="C193" s="62" t="s">
        <v>12</v>
      </c>
      <c r="D193" s="63">
        <v>0.5</v>
      </c>
      <c r="E193" s="100">
        <v>573000</v>
      </c>
      <c r="F193" s="325">
        <f t="shared" ref="F193:F195" si="9">ROUND((D193*E193),0)</f>
        <v>286500</v>
      </c>
    </row>
    <row r="194" spans="1:6" x14ac:dyDescent="0.2">
      <c r="A194" s="246">
        <v>8</v>
      </c>
      <c r="B194" s="258" t="s">
        <v>343</v>
      </c>
      <c r="C194" s="248"/>
      <c r="D194" s="248"/>
      <c r="E194" s="461"/>
      <c r="F194" s="550"/>
    </row>
    <row r="195" spans="1:6" ht="25.5" x14ac:dyDescent="0.2">
      <c r="A195" s="60">
        <v>11.2</v>
      </c>
      <c r="B195" s="61" t="s">
        <v>344</v>
      </c>
      <c r="C195" s="62" t="s">
        <v>12</v>
      </c>
      <c r="D195" s="63">
        <v>7</v>
      </c>
      <c r="E195" s="100">
        <v>900000</v>
      </c>
      <c r="F195" s="325">
        <f t="shared" si="9"/>
        <v>6300000</v>
      </c>
    </row>
    <row r="196" spans="1:6" x14ac:dyDescent="0.2">
      <c r="A196" s="246">
        <v>12</v>
      </c>
      <c r="B196" s="258" t="s">
        <v>74</v>
      </c>
      <c r="C196" s="248"/>
      <c r="D196" s="249"/>
      <c r="E196" s="461"/>
      <c r="F196" s="325"/>
    </row>
    <row r="197" spans="1:6" ht="39" thickBot="1" x14ac:dyDescent="0.25">
      <c r="A197" s="67">
        <v>12.1</v>
      </c>
      <c r="B197" s="68" t="s">
        <v>97</v>
      </c>
      <c r="C197" s="69" t="s">
        <v>75</v>
      </c>
      <c r="D197" s="70">
        <v>50</v>
      </c>
      <c r="E197" s="468">
        <v>5850</v>
      </c>
      <c r="F197" s="326">
        <f>ROUND((D197*E197),0)</f>
        <v>292500</v>
      </c>
    </row>
    <row r="198" spans="1:6" x14ac:dyDescent="0.2">
      <c r="A198" s="262">
        <v>13</v>
      </c>
      <c r="B198" s="469" t="s">
        <v>98</v>
      </c>
      <c r="C198" s="248"/>
      <c r="D198" s="470"/>
      <c r="E198" s="471"/>
      <c r="F198" s="325"/>
    </row>
    <row r="199" spans="1:6" ht="13.5" thickBot="1" x14ac:dyDescent="0.25">
      <c r="A199" s="472">
        <v>13.1</v>
      </c>
      <c r="B199" s="430" t="s">
        <v>106</v>
      </c>
      <c r="C199" s="473" t="s">
        <v>99</v>
      </c>
      <c r="D199" s="474">
        <v>1</v>
      </c>
      <c r="E199" s="468">
        <v>1500000</v>
      </c>
      <c r="F199" s="326">
        <f>ROUND((D199*E199),0)</f>
        <v>1500000</v>
      </c>
    </row>
    <row r="200" spans="1:6" x14ac:dyDescent="0.2">
      <c r="A200" s="475"/>
      <c r="B200" s="476" t="s">
        <v>660</v>
      </c>
      <c r="C200" s="477"/>
      <c r="D200" s="478"/>
      <c r="E200" s="479"/>
      <c r="F200" s="454">
        <f>ROUND(SUM(F157:F199),0)</f>
        <v>54102999</v>
      </c>
    </row>
    <row r="201" spans="1:6" x14ac:dyDescent="0.2">
      <c r="A201" s="613"/>
      <c r="B201" s="613" t="s">
        <v>77</v>
      </c>
      <c r="C201" s="79"/>
      <c r="D201" s="80"/>
      <c r="E201" s="82"/>
      <c r="F201" s="327"/>
    </row>
    <row r="202" spans="1:6" x14ac:dyDescent="0.2">
      <c r="A202" s="613"/>
      <c r="B202" s="613" t="s">
        <v>78</v>
      </c>
      <c r="C202" s="79"/>
      <c r="D202" s="112" t="s">
        <v>0</v>
      </c>
      <c r="E202" s="82"/>
      <c r="F202" s="347">
        <f>ROUND(F200/1.3495,0)</f>
        <v>40091144</v>
      </c>
    </row>
    <row r="203" spans="1:6" x14ac:dyDescent="0.2">
      <c r="A203" s="613"/>
      <c r="B203" s="613" t="s">
        <v>79</v>
      </c>
      <c r="C203" s="79"/>
      <c r="D203" s="112">
        <v>0.24</v>
      </c>
      <c r="E203" s="82"/>
      <c r="F203" s="347">
        <f>ROUND(F202*D203,0)</f>
        <v>9621875</v>
      </c>
    </row>
    <row r="204" spans="1:6" x14ac:dyDescent="0.2">
      <c r="A204" s="613"/>
      <c r="B204" s="613" t="s">
        <v>32</v>
      </c>
      <c r="C204" s="79"/>
      <c r="D204" s="112">
        <v>0.05</v>
      </c>
      <c r="E204" s="82"/>
      <c r="F204" s="347">
        <f>ROUND(F202*D204,0)</f>
        <v>2004557</v>
      </c>
    </row>
    <row r="205" spans="1:6" x14ac:dyDescent="0.2">
      <c r="A205" s="613"/>
      <c r="B205" s="613" t="s">
        <v>80</v>
      </c>
      <c r="C205" s="85"/>
      <c r="D205" s="112">
        <v>0.05</v>
      </c>
      <c r="E205" s="87"/>
      <c r="F205" s="347">
        <f>ROUND(F202*D205,0)</f>
        <v>2004557</v>
      </c>
    </row>
    <row r="206" spans="1:6" x14ac:dyDescent="0.2">
      <c r="A206" s="613"/>
      <c r="B206" s="613" t="s">
        <v>81</v>
      </c>
      <c r="C206" s="85"/>
      <c r="D206" s="112"/>
      <c r="E206" s="87"/>
      <c r="F206" s="347">
        <f>+F202+F203+F204+F205</f>
        <v>53722133</v>
      </c>
    </row>
    <row r="207" spans="1:6" x14ac:dyDescent="0.2">
      <c r="A207" s="613"/>
      <c r="B207" s="613" t="s">
        <v>82</v>
      </c>
      <c r="C207" s="85"/>
      <c r="D207" s="112">
        <v>0.19</v>
      </c>
      <c r="E207" s="87"/>
      <c r="F207" s="348">
        <f>ROUND(F205*D207,0)</f>
        <v>380866</v>
      </c>
    </row>
    <row r="208" spans="1:6" ht="25.5" x14ac:dyDescent="0.2">
      <c r="A208" s="89"/>
      <c r="B208" s="89" t="s">
        <v>83</v>
      </c>
      <c r="C208" s="85"/>
      <c r="D208" s="424"/>
      <c r="E208" s="87"/>
      <c r="F208" s="111">
        <f>ROUND(SUM(F206+F207),0)</f>
        <v>54102999</v>
      </c>
    </row>
    <row r="209" spans="1:6" x14ac:dyDescent="0.2">
      <c r="F209" s="551"/>
    </row>
    <row r="210" spans="1:6" ht="13.5" thickBot="1" x14ac:dyDescent="0.25"/>
    <row r="211" spans="1:6" ht="40.5" customHeight="1" thickBot="1" x14ac:dyDescent="0.25">
      <c r="A211" s="677" t="s">
        <v>350</v>
      </c>
      <c r="B211" s="678"/>
      <c r="C211" s="678"/>
      <c r="D211" s="678"/>
      <c r="E211" s="678"/>
      <c r="F211" s="679"/>
    </row>
    <row r="212" spans="1:6" ht="13.5" thickBot="1" x14ac:dyDescent="0.25">
      <c r="A212" s="54"/>
      <c r="B212" s="54"/>
      <c r="C212" s="54"/>
      <c r="D212" s="55"/>
      <c r="E212" s="56"/>
      <c r="F212" s="56"/>
    </row>
    <row r="213" spans="1:6" ht="13.5" thickBot="1" x14ac:dyDescent="0.25">
      <c r="A213" s="640" t="s">
        <v>15</v>
      </c>
      <c r="B213" s="642" t="s">
        <v>16</v>
      </c>
      <c r="C213" s="640" t="s">
        <v>33</v>
      </c>
      <c r="D213" s="644" t="s">
        <v>34</v>
      </c>
      <c r="E213" s="645"/>
      <c r="F213" s="646"/>
    </row>
    <row r="214" spans="1:6" ht="13.5" thickBot="1" x14ac:dyDescent="0.25">
      <c r="A214" s="641"/>
      <c r="B214" s="643"/>
      <c r="C214" s="641"/>
      <c r="D214" s="57" t="s">
        <v>35</v>
      </c>
      <c r="E214" s="58" t="s">
        <v>36</v>
      </c>
      <c r="F214" s="59" t="s">
        <v>37</v>
      </c>
    </row>
    <row r="215" spans="1:6" x14ac:dyDescent="0.2">
      <c r="A215" s="241">
        <v>1</v>
      </c>
      <c r="B215" s="480" t="s">
        <v>38</v>
      </c>
      <c r="C215" s="241"/>
      <c r="D215" s="243"/>
      <c r="E215" s="458"/>
      <c r="F215" s="245"/>
    </row>
    <row r="216" spans="1:6" ht="25.5" x14ac:dyDescent="0.2">
      <c r="A216" s="60" t="s">
        <v>39</v>
      </c>
      <c r="B216" s="66" t="s">
        <v>40</v>
      </c>
      <c r="C216" s="62" t="s">
        <v>22</v>
      </c>
      <c r="D216" s="63">
        <v>92</v>
      </c>
      <c r="E216" s="459">
        <v>4867</v>
      </c>
      <c r="F216" s="325">
        <f>ROUND((D216*E216),0)</f>
        <v>447764</v>
      </c>
    </row>
    <row r="217" spans="1:6" ht="25.5" x14ac:dyDescent="0.2">
      <c r="A217" s="60">
        <v>1.2</v>
      </c>
      <c r="B217" s="66" t="s">
        <v>18</v>
      </c>
      <c r="C217" s="62" t="s">
        <v>22</v>
      </c>
      <c r="D217" s="63">
        <v>102</v>
      </c>
      <c r="E217" s="100">
        <v>9200</v>
      </c>
      <c r="F217" s="325">
        <f>ROUND((D217*E217),0)</f>
        <v>938400</v>
      </c>
    </row>
    <row r="218" spans="1:6" ht="25.5" x14ac:dyDescent="0.2">
      <c r="A218" s="60">
        <v>1.3</v>
      </c>
      <c r="B218" s="66" t="s">
        <v>44</v>
      </c>
      <c r="C218" s="62" t="s">
        <v>45</v>
      </c>
      <c r="D218" s="63">
        <v>2</v>
      </c>
      <c r="E218" s="97">
        <v>171600</v>
      </c>
      <c r="F218" s="325">
        <f>ROUND((D218*E218),0)</f>
        <v>343200</v>
      </c>
    </row>
    <row r="219" spans="1:6" ht="25.5" x14ac:dyDescent="0.2">
      <c r="A219" s="60">
        <v>1.43</v>
      </c>
      <c r="B219" s="66" t="s">
        <v>339</v>
      </c>
      <c r="C219" s="62" t="s">
        <v>45</v>
      </c>
      <c r="D219" s="63">
        <v>1</v>
      </c>
      <c r="E219" s="460">
        <v>662330</v>
      </c>
      <c r="F219" s="325">
        <f>ROUND((D219*E219),0)</f>
        <v>662330</v>
      </c>
    </row>
    <row r="220" spans="1:6" x14ac:dyDescent="0.2">
      <c r="A220" s="246">
        <v>2</v>
      </c>
      <c r="B220" s="258" t="s">
        <v>48</v>
      </c>
      <c r="C220" s="248"/>
      <c r="D220" s="249"/>
      <c r="E220" s="461"/>
      <c r="F220" s="325"/>
    </row>
    <row r="221" spans="1:6" ht="25.5" x14ac:dyDescent="0.2">
      <c r="A221" s="60">
        <v>2.1</v>
      </c>
      <c r="B221" s="61" t="s">
        <v>49</v>
      </c>
      <c r="C221" s="62" t="s">
        <v>12</v>
      </c>
      <c r="D221" s="63">
        <v>17.84</v>
      </c>
      <c r="E221" s="460">
        <v>83980</v>
      </c>
      <c r="F221" s="325">
        <f>ROUND((D221*E221),0)</f>
        <v>1498203</v>
      </c>
    </row>
    <row r="222" spans="1:6" ht="25.5" x14ac:dyDescent="0.2">
      <c r="A222" s="60">
        <v>2.2000000000000002</v>
      </c>
      <c r="B222" s="61" t="s">
        <v>50</v>
      </c>
      <c r="C222" s="62" t="s">
        <v>22</v>
      </c>
      <c r="D222" s="63">
        <v>380</v>
      </c>
      <c r="E222" s="460">
        <v>5500</v>
      </c>
      <c r="F222" s="325">
        <f>ROUND((D222*E222),0)</f>
        <v>2090000</v>
      </c>
    </row>
    <row r="223" spans="1:6" x14ac:dyDescent="0.2">
      <c r="A223" s="246">
        <v>3</v>
      </c>
      <c r="B223" s="258" t="s">
        <v>51</v>
      </c>
      <c r="C223" s="248"/>
      <c r="D223" s="249"/>
      <c r="E223" s="461"/>
      <c r="F223" s="325"/>
    </row>
    <row r="224" spans="1:6" ht="25.5" x14ac:dyDescent="0.2">
      <c r="A224" s="60">
        <v>3.1</v>
      </c>
      <c r="B224" s="66" t="s">
        <v>52</v>
      </c>
      <c r="C224" s="62" t="s">
        <v>12</v>
      </c>
      <c r="D224" s="63">
        <v>21.63</v>
      </c>
      <c r="E224" s="460">
        <v>25687</v>
      </c>
      <c r="F224" s="325">
        <f t="shared" ref="F224:F226" si="10">ROUND((D224*E224),0)</f>
        <v>555610</v>
      </c>
    </row>
    <row r="225" spans="1:6" ht="25.5" x14ac:dyDescent="0.2">
      <c r="A225" s="60">
        <v>3.2</v>
      </c>
      <c r="B225" s="66" t="s">
        <v>53</v>
      </c>
      <c r="C225" s="62" t="s">
        <v>12</v>
      </c>
      <c r="D225" s="63">
        <v>44.23</v>
      </c>
      <c r="E225" s="97">
        <v>31640</v>
      </c>
      <c r="F225" s="325">
        <f t="shared" si="10"/>
        <v>1399437</v>
      </c>
    </row>
    <row r="226" spans="1:6" ht="51" x14ac:dyDescent="0.2">
      <c r="A226" s="60">
        <v>3.3</v>
      </c>
      <c r="B226" s="66" t="s">
        <v>679</v>
      </c>
      <c r="C226" s="62" t="s">
        <v>12</v>
      </c>
      <c r="D226" s="63">
        <v>143.76</v>
      </c>
      <c r="E226" s="97">
        <v>65000</v>
      </c>
      <c r="F226" s="325">
        <f t="shared" si="10"/>
        <v>9344400</v>
      </c>
    </row>
    <row r="227" spans="1:6" ht="25.5" x14ac:dyDescent="0.2">
      <c r="A227" s="246">
        <v>4</v>
      </c>
      <c r="B227" s="247" t="s">
        <v>345</v>
      </c>
      <c r="C227" s="248"/>
      <c r="D227" s="249"/>
      <c r="E227" s="463"/>
      <c r="F227" s="325"/>
    </row>
    <row r="228" spans="1:6" ht="51" x14ac:dyDescent="0.2">
      <c r="A228" s="60">
        <v>4.0999999999999996</v>
      </c>
      <c r="B228" s="61" t="s">
        <v>346</v>
      </c>
      <c r="C228" s="62" t="s">
        <v>22</v>
      </c>
      <c r="D228" s="63">
        <v>46</v>
      </c>
      <c r="E228" s="462">
        <v>17350</v>
      </c>
      <c r="F228" s="325">
        <f>ROUND((D228*E228),0)</f>
        <v>798100</v>
      </c>
    </row>
    <row r="229" spans="1:6" ht="38.25" x14ac:dyDescent="0.2">
      <c r="A229" s="60">
        <v>4.2</v>
      </c>
      <c r="B229" s="66" t="s">
        <v>347</v>
      </c>
      <c r="C229" s="62" t="s">
        <v>14</v>
      </c>
      <c r="D229" s="63">
        <v>10</v>
      </c>
      <c r="E229" s="462">
        <v>77427</v>
      </c>
      <c r="F229" s="325">
        <f>ROUND((D229*E229),0)</f>
        <v>774270</v>
      </c>
    </row>
    <row r="230" spans="1:6" ht="25.5" x14ac:dyDescent="0.2">
      <c r="A230" s="246">
        <v>5</v>
      </c>
      <c r="B230" s="247" t="s">
        <v>54</v>
      </c>
      <c r="C230" s="248"/>
      <c r="D230" s="249"/>
      <c r="E230" s="463"/>
      <c r="F230" s="325"/>
    </row>
    <row r="231" spans="1:6" ht="25.5" x14ac:dyDescent="0.2">
      <c r="A231" s="60">
        <v>5.0999999999999996</v>
      </c>
      <c r="B231" s="66" t="s">
        <v>55</v>
      </c>
      <c r="C231" s="62" t="s">
        <v>22</v>
      </c>
      <c r="D231" s="63">
        <v>50</v>
      </c>
      <c r="E231" s="460">
        <v>13098</v>
      </c>
      <c r="F231" s="325">
        <f>ROUND((D231*E231),0)</f>
        <v>654900</v>
      </c>
    </row>
    <row r="232" spans="1:6" ht="25.5" x14ac:dyDescent="0.2">
      <c r="A232" s="60">
        <v>5.2</v>
      </c>
      <c r="B232" s="66" t="s">
        <v>778</v>
      </c>
      <c r="C232" s="62" t="s">
        <v>22</v>
      </c>
      <c r="D232" s="63">
        <v>46</v>
      </c>
      <c r="E232" s="460">
        <v>33000</v>
      </c>
      <c r="F232" s="325">
        <f>ROUND((D232*E232),0)</f>
        <v>1518000</v>
      </c>
    </row>
    <row r="233" spans="1:6" ht="25.5" x14ac:dyDescent="0.2">
      <c r="A233" s="481">
        <v>5.3</v>
      </c>
      <c r="B233" s="66" t="s">
        <v>779</v>
      </c>
      <c r="C233" s="465" t="s">
        <v>14</v>
      </c>
      <c r="D233" s="466">
        <v>11</v>
      </c>
      <c r="E233" s="467">
        <v>65000</v>
      </c>
      <c r="F233" s="549">
        <f>SUM(D233*E233)</f>
        <v>715000</v>
      </c>
    </row>
    <row r="234" spans="1:6" x14ac:dyDescent="0.2">
      <c r="A234" s="246">
        <v>6</v>
      </c>
      <c r="B234" s="258" t="s">
        <v>56</v>
      </c>
      <c r="C234" s="248"/>
      <c r="D234" s="249"/>
      <c r="E234" s="461"/>
      <c r="F234" s="325"/>
    </row>
    <row r="235" spans="1:6" x14ac:dyDescent="0.2">
      <c r="A235" s="60">
        <v>6.1</v>
      </c>
      <c r="B235" s="99" t="s">
        <v>57</v>
      </c>
      <c r="C235" s="62" t="s">
        <v>22</v>
      </c>
      <c r="D235" s="63">
        <v>46</v>
      </c>
      <c r="E235" s="460">
        <v>27450</v>
      </c>
      <c r="F235" s="325">
        <f>ROUND((D235*E235),0)</f>
        <v>1262700</v>
      </c>
    </row>
    <row r="236" spans="1:6" ht="25.5" x14ac:dyDescent="0.2">
      <c r="A236" s="246">
        <v>7</v>
      </c>
      <c r="B236" s="247" t="s">
        <v>58</v>
      </c>
      <c r="C236" s="248"/>
      <c r="D236" s="249"/>
      <c r="E236" s="461"/>
      <c r="F236" s="325" t="s">
        <v>0</v>
      </c>
    </row>
    <row r="237" spans="1:6" ht="51" x14ac:dyDescent="0.2">
      <c r="A237" s="60">
        <v>7.1</v>
      </c>
      <c r="B237" s="61" t="s">
        <v>59</v>
      </c>
      <c r="C237" s="62" t="s">
        <v>60</v>
      </c>
      <c r="D237" s="63">
        <v>11</v>
      </c>
      <c r="E237" s="459">
        <v>223256</v>
      </c>
      <c r="F237" s="325">
        <f>ROUND((D237*E237),0)</f>
        <v>2455816</v>
      </c>
    </row>
    <row r="238" spans="1:6" x14ac:dyDescent="0.2">
      <c r="A238" s="246">
        <v>8</v>
      </c>
      <c r="B238" s="258" t="s">
        <v>61</v>
      </c>
      <c r="C238" s="248"/>
      <c r="D238" s="249"/>
      <c r="E238" s="461"/>
      <c r="F238" s="325"/>
    </row>
    <row r="239" spans="1:6" ht="25.5" x14ac:dyDescent="0.2">
      <c r="A239" s="60">
        <v>8.1</v>
      </c>
      <c r="B239" s="66" t="s">
        <v>62</v>
      </c>
      <c r="C239" s="62" t="s">
        <v>12</v>
      </c>
      <c r="D239" s="63">
        <v>19.82</v>
      </c>
      <c r="E239" s="460">
        <v>22686</v>
      </c>
      <c r="F239" s="325">
        <f>ROUND((D239*E239),0)</f>
        <v>449637</v>
      </c>
    </row>
    <row r="240" spans="1:6" ht="38.25" x14ac:dyDescent="0.2">
      <c r="A240" s="60">
        <v>8.1999999999999993</v>
      </c>
      <c r="B240" s="61" t="s">
        <v>351</v>
      </c>
      <c r="C240" s="62" t="s">
        <v>12</v>
      </c>
      <c r="D240" s="63">
        <v>199.05</v>
      </c>
      <c r="E240" s="460">
        <v>92913</v>
      </c>
      <c r="F240" s="325">
        <f>ROUND((D240*E240),0)</f>
        <v>18494333</v>
      </c>
    </row>
    <row r="241" spans="1:6" ht="25.5" x14ac:dyDescent="0.2">
      <c r="A241" s="60">
        <v>8.3000000000000007</v>
      </c>
      <c r="B241" s="66" t="s">
        <v>63</v>
      </c>
      <c r="C241" s="62" t="s">
        <v>12</v>
      </c>
      <c r="D241" s="63">
        <v>14.43</v>
      </c>
      <c r="E241" s="460">
        <v>104720</v>
      </c>
      <c r="F241" s="325">
        <f>ROUND((D241*E241),0)</f>
        <v>1511110</v>
      </c>
    </row>
    <row r="242" spans="1:6" ht="25.5" x14ac:dyDescent="0.2">
      <c r="A242" s="246">
        <v>9</v>
      </c>
      <c r="B242" s="247" t="s">
        <v>64</v>
      </c>
      <c r="C242" s="248"/>
      <c r="D242" s="249"/>
      <c r="E242" s="461"/>
      <c r="F242" s="325"/>
    </row>
    <row r="243" spans="1:6" ht="38.25" x14ac:dyDescent="0.2">
      <c r="A243" s="60">
        <v>9.1</v>
      </c>
      <c r="B243" s="61" t="s">
        <v>95</v>
      </c>
      <c r="C243" s="62" t="s">
        <v>12</v>
      </c>
      <c r="D243" s="63">
        <v>10.92</v>
      </c>
      <c r="E243" s="459">
        <v>106315</v>
      </c>
      <c r="F243" s="325">
        <f>ROUND((D243*E243),0)</f>
        <v>1160960</v>
      </c>
    </row>
    <row r="244" spans="1:6" ht="38.25" x14ac:dyDescent="0.2">
      <c r="A244" s="246">
        <v>10</v>
      </c>
      <c r="B244" s="251" t="s">
        <v>65</v>
      </c>
      <c r="C244" s="248"/>
      <c r="D244" s="249"/>
      <c r="E244" s="461"/>
      <c r="F244" s="325"/>
    </row>
    <row r="245" spans="1:6" ht="25.5" x14ac:dyDescent="0.2">
      <c r="A245" s="60">
        <v>10.1</v>
      </c>
      <c r="B245" s="61" t="s">
        <v>103</v>
      </c>
      <c r="C245" s="62" t="s">
        <v>14</v>
      </c>
      <c r="D245" s="63">
        <v>2</v>
      </c>
      <c r="E245" s="459">
        <v>92000</v>
      </c>
      <c r="F245" s="325">
        <f>ROUND((D245*E245),0)</f>
        <v>184000</v>
      </c>
    </row>
    <row r="246" spans="1:6" ht="51" x14ac:dyDescent="0.2">
      <c r="A246" s="60">
        <v>10.199999999999999</v>
      </c>
      <c r="B246" s="61" t="s">
        <v>66</v>
      </c>
      <c r="C246" s="62" t="s">
        <v>22</v>
      </c>
      <c r="D246" s="63">
        <v>3.2</v>
      </c>
      <c r="E246" s="459">
        <v>451034</v>
      </c>
      <c r="F246" s="325">
        <f>ROUND((D246*E246),0)</f>
        <v>1443309</v>
      </c>
    </row>
    <row r="247" spans="1:6" ht="38.25" x14ac:dyDescent="0.2">
      <c r="A247" s="60">
        <v>10.4</v>
      </c>
      <c r="B247" s="61" t="s">
        <v>342</v>
      </c>
      <c r="C247" s="62" t="s">
        <v>14</v>
      </c>
      <c r="D247" s="63">
        <v>2</v>
      </c>
      <c r="E247" s="459">
        <v>905000</v>
      </c>
      <c r="F247" s="325">
        <f>ROUND((D247*E247),0)</f>
        <v>1810000</v>
      </c>
    </row>
    <row r="248" spans="1:6" x14ac:dyDescent="0.2">
      <c r="A248" s="246">
        <v>11</v>
      </c>
      <c r="B248" s="258" t="s">
        <v>69</v>
      </c>
      <c r="C248" s="248"/>
      <c r="D248" s="249"/>
      <c r="E248" s="461"/>
      <c r="F248" s="325"/>
    </row>
    <row r="249" spans="1:6" ht="51" x14ac:dyDescent="0.2">
      <c r="A249" s="60">
        <v>11.1</v>
      </c>
      <c r="B249" s="61" t="s">
        <v>70</v>
      </c>
      <c r="C249" s="62" t="s">
        <v>12</v>
      </c>
      <c r="D249" s="63">
        <v>285.56</v>
      </c>
      <c r="E249" s="460">
        <v>28500</v>
      </c>
      <c r="F249" s="325">
        <f>ROUND((D249*E249),0)</f>
        <v>8138460</v>
      </c>
    </row>
    <row r="250" spans="1:6" x14ac:dyDescent="0.2">
      <c r="A250" s="246">
        <v>12</v>
      </c>
      <c r="B250" s="258" t="s">
        <v>71</v>
      </c>
      <c r="C250" s="248"/>
      <c r="D250" s="249"/>
      <c r="E250" s="461"/>
      <c r="F250" s="325"/>
    </row>
    <row r="251" spans="1:6" ht="25.5" x14ac:dyDescent="0.2">
      <c r="A251" s="62">
        <v>12.1</v>
      </c>
      <c r="B251" s="66" t="s">
        <v>72</v>
      </c>
      <c r="C251" s="62" t="s">
        <v>12</v>
      </c>
      <c r="D251" s="63">
        <v>2.7</v>
      </c>
      <c r="E251" s="100">
        <v>573000</v>
      </c>
      <c r="F251" s="325">
        <f t="shared" ref="F251:F252" si="11">ROUND((D251*E251),0)</f>
        <v>1547100</v>
      </c>
    </row>
    <row r="252" spans="1:6" ht="25.5" x14ac:dyDescent="0.2">
      <c r="A252" s="60">
        <v>12.2</v>
      </c>
      <c r="B252" s="61" t="s">
        <v>349</v>
      </c>
      <c r="C252" s="62" t="s">
        <v>27</v>
      </c>
      <c r="D252" s="63">
        <v>20</v>
      </c>
      <c r="E252" s="100">
        <v>65000</v>
      </c>
      <c r="F252" s="325">
        <f t="shared" si="11"/>
        <v>1300000</v>
      </c>
    </row>
    <row r="253" spans="1:6" x14ac:dyDescent="0.2">
      <c r="A253" s="246">
        <v>13</v>
      </c>
      <c r="B253" s="258" t="s">
        <v>74</v>
      </c>
      <c r="C253" s="248"/>
      <c r="D253" s="249"/>
      <c r="E253" s="461"/>
      <c r="F253" s="325"/>
    </row>
    <row r="254" spans="1:6" ht="39" thickBot="1" x14ac:dyDescent="0.25">
      <c r="A254" s="67">
        <v>13.1</v>
      </c>
      <c r="B254" s="68" t="s">
        <v>97</v>
      </c>
      <c r="C254" s="69" t="s">
        <v>75</v>
      </c>
      <c r="D254" s="70">
        <v>180</v>
      </c>
      <c r="E254" s="468">
        <v>5850</v>
      </c>
      <c r="F254" s="326">
        <f>ROUND((D254*E254),0)</f>
        <v>1053000</v>
      </c>
    </row>
    <row r="255" spans="1:6" x14ac:dyDescent="0.2">
      <c r="A255" s="262">
        <v>14</v>
      </c>
      <c r="B255" s="469" t="s">
        <v>98</v>
      </c>
      <c r="C255" s="248"/>
      <c r="D255" s="470"/>
      <c r="E255" s="471"/>
      <c r="F255" s="325"/>
    </row>
    <row r="256" spans="1:6" ht="13.5" thickBot="1" x14ac:dyDescent="0.25">
      <c r="A256" s="472">
        <v>14.1</v>
      </c>
      <c r="B256" s="430" t="s">
        <v>106</v>
      </c>
      <c r="C256" s="473" t="s">
        <v>99</v>
      </c>
      <c r="D256" s="474">
        <v>1</v>
      </c>
      <c r="E256" s="468">
        <v>1500000</v>
      </c>
      <c r="F256" s="326">
        <f>ROUND((D256*E256),0)</f>
        <v>1500000</v>
      </c>
    </row>
    <row r="257" spans="1:6" x14ac:dyDescent="0.2">
      <c r="A257" s="475"/>
      <c r="B257" s="476" t="s">
        <v>30</v>
      </c>
      <c r="C257" s="477"/>
      <c r="D257" s="478"/>
      <c r="E257" s="479"/>
      <c r="F257" s="554">
        <f>ROUND(SUM(F214:F256),0)</f>
        <v>64050039</v>
      </c>
    </row>
    <row r="258" spans="1:6" x14ac:dyDescent="0.2">
      <c r="A258" s="613"/>
      <c r="B258" s="613" t="s">
        <v>77</v>
      </c>
      <c r="C258" s="79"/>
      <c r="D258" s="80"/>
      <c r="E258" s="82"/>
      <c r="F258" s="327"/>
    </row>
    <row r="259" spans="1:6" x14ac:dyDescent="0.2">
      <c r="A259" s="613"/>
      <c r="B259" s="613" t="s">
        <v>78</v>
      </c>
      <c r="C259" s="79"/>
      <c r="D259" s="80"/>
      <c r="E259" s="82"/>
      <c r="F259" s="347">
        <f>ROUND(F257/1.3495,0)</f>
        <v>47462052</v>
      </c>
    </row>
    <row r="260" spans="1:6" x14ac:dyDescent="0.2">
      <c r="A260" s="613"/>
      <c r="B260" s="613" t="s">
        <v>79</v>
      </c>
      <c r="C260" s="79"/>
      <c r="D260" s="112">
        <v>0.24</v>
      </c>
      <c r="E260" s="82"/>
      <c r="F260" s="347">
        <f>ROUND(F259*D260,0)</f>
        <v>11390892</v>
      </c>
    </row>
    <row r="261" spans="1:6" x14ac:dyDescent="0.2">
      <c r="A261" s="613"/>
      <c r="B261" s="613" t="s">
        <v>32</v>
      </c>
      <c r="C261" s="79"/>
      <c r="D261" s="112">
        <v>0.05</v>
      </c>
      <c r="E261" s="82"/>
      <c r="F261" s="347">
        <f>ROUND(F259*D261,0)</f>
        <v>2373103</v>
      </c>
    </row>
    <row r="262" spans="1:6" x14ac:dyDescent="0.2">
      <c r="A262" s="613"/>
      <c r="B262" s="613" t="s">
        <v>80</v>
      </c>
      <c r="C262" s="85"/>
      <c r="D262" s="112">
        <v>0.05</v>
      </c>
      <c r="E262" s="87"/>
      <c r="F262" s="347">
        <f>ROUND(F259*D262,0)</f>
        <v>2373103</v>
      </c>
    </row>
    <row r="263" spans="1:6" x14ac:dyDescent="0.2">
      <c r="A263" s="613"/>
      <c r="B263" s="613" t="s">
        <v>81</v>
      </c>
      <c r="C263" s="85"/>
      <c r="D263" s="112"/>
      <c r="E263" s="87"/>
      <c r="F263" s="347">
        <f>+F259+F260+F261+F262</f>
        <v>63599150</v>
      </c>
    </row>
    <row r="264" spans="1:6" x14ac:dyDescent="0.2">
      <c r="A264" s="613"/>
      <c r="B264" s="613" t="s">
        <v>82</v>
      </c>
      <c r="C264" s="85"/>
      <c r="D264" s="112">
        <v>0.19</v>
      </c>
      <c r="E264" s="87"/>
      <c r="F264" s="348">
        <f>ROUND(F262*D264,0)</f>
        <v>450890</v>
      </c>
    </row>
    <row r="265" spans="1:6" ht="25.5" x14ac:dyDescent="0.2">
      <c r="A265" s="89"/>
      <c r="B265" s="89" t="s">
        <v>83</v>
      </c>
      <c r="C265" s="85"/>
      <c r="D265" s="424"/>
      <c r="E265" s="87"/>
      <c r="F265" s="111">
        <f>ROUND(SUM(F263+F264),0)</f>
        <v>64050040</v>
      </c>
    </row>
    <row r="267" spans="1:6" ht="13.5" thickBot="1" x14ac:dyDescent="0.25"/>
    <row r="268" spans="1:6" ht="46.5" customHeight="1" thickBot="1" x14ac:dyDescent="0.25">
      <c r="A268" s="677" t="s">
        <v>338</v>
      </c>
      <c r="B268" s="678"/>
      <c r="C268" s="678"/>
      <c r="D268" s="678"/>
      <c r="E268" s="678"/>
      <c r="F268" s="679"/>
    </row>
    <row r="269" spans="1:6" ht="13.5" thickBot="1" x14ac:dyDescent="0.25">
      <c r="A269" s="54"/>
      <c r="B269" s="54"/>
      <c r="C269" s="54"/>
      <c r="D269" s="55"/>
      <c r="E269" s="56"/>
      <c r="F269" s="56"/>
    </row>
    <row r="270" spans="1:6" ht="13.5" thickBot="1" x14ac:dyDescent="0.25">
      <c r="A270" s="640" t="s">
        <v>15</v>
      </c>
      <c r="B270" s="642" t="s">
        <v>16</v>
      </c>
      <c r="C270" s="640" t="s">
        <v>33</v>
      </c>
      <c r="D270" s="644" t="s">
        <v>34</v>
      </c>
      <c r="E270" s="645"/>
      <c r="F270" s="646"/>
    </row>
    <row r="271" spans="1:6" ht="13.5" thickBot="1" x14ac:dyDescent="0.25">
      <c r="A271" s="641"/>
      <c r="B271" s="643"/>
      <c r="C271" s="641"/>
      <c r="D271" s="57" t="s">
        <v>35</v>
      </c>
      <c r="E271" s="58" t="s">
        <v>36</v>
      </c>
      <c r="F271" s="59" t="s">
        <v>37</v>
      </c>
    </row>
    <row r="272" spans="1:6" x14ac:dyDescent="0.2">
      <c r="A272" s="241">
        <v>1</v>
      </c>
      <c r="B272" s="242" t="s">
        <v>38</v>
      </c>
      <c r="C272" s="241"/>
      <c r="D272" s="243"/>
      <c r="E272" s="458"/>
      <c r="F272" s="245"/>
    </row>
    <row r="273" spans="1:6" ht="25.5" x14ac:dyDescent="0.2">
      <c r="A273" s="60">
        <v>1.1000000000000001</v>
      </c>
      <c r="B273" s="483" t="s">
        <v>40</v>
      </c>
      <c r="C273" s="62" t="s">
        <v>22</v>
      </c>
      <c r="D273" s="63">
        <v>70</v>
      </c>
      <c r="E273" s="459">
        <v>4867</v>
      </c>
      <c r="F273" s="325">
        <f>ROUND((D273*E273),0)</f>
        <v>340690</v>
      </c>
    </row>
    <row r="274" spans="1:6" ht="25.5" x14ac:dyDescent="0.2">
      <c r="A274" s="60">
        <v>1.2</v>
      </c>
      <c r="B274" s="483" t="s">
        <v>18</v>
      </c>
      <c r="C274" s="62" t="s">
        <v>22</v>
      </c>
      <c r="D274" s="63">
        <v>150</v>
      </c>
      <c r="E274" s="100">
        <v>9200</v>
      </c>
      <c r="F274" s="325">
        <f>ROUND((D274*E274),0)</f>
        <v>1380000</v>
      </c>
    </row>
    <row r="275" spans="1:6" ht="25.5" x14ac:dyDescent="0.2">
      <c r="A275" s="60">
        <v>1.3</v>
      </c>
      <c r="B275" s="483" t="s">
        <v>44</v>
      </c>
      <c r="C275" s="62" t="s">
        <v>45</v>
      </c>
      <c r="D275" s="63">
        <v>2</v>
      </c>
      <c r="E275" s="97">
        <v>171600</v>
      </c>
      <c r="F275" s="325">
        <f>ROUND((D275*E275),0)</f>
        <v>343200</v>
      </c>
    </row>
    <row r="276" spans="1:6" ht="25.5" x14ac:dyDescent="0.2">
      <c r="A276" s="60">
        <v>1.4</v>
      </c>
      <c r="B276" s="483" t="s">
        <v>339</v>
      </c>
      <c r="C276" s="62" t="s">
        <v>45</v>
      </c>
      <c r="D276" s="63">
        <v>1</v>
      </c>
      <c r="E276" s="460">
        <v>662330</v>
      </c>
      <c r="F276" s="325">
        <f>ROUND((D276*E276),0)</f>
        <v>662330</v>
      </c>
    </row>
    <row r="277" spans="1:6" x14ac:dyDescent="0.2">
      <c r="A277" s="246">
        <v>2</v>
      </c>
      <c r="B277" s="552" t="s">
        <v>48</v>
      </c>
      <c r="C277" s="248"/>
      <c r="D277" s="249"/>
      <c r="E277" s="461"/>
      <c r="F277" s="325"/>
    </row>
    <row r="278" spans="1:6" ht="38.25" x14ac:dyDescent="0.2">
      <c r="A278" s="60">
        <v>2.1</v>
      </c>
      <c r="B278" s="485" t="s">
        <v>340</v>
      </c>
      <c r="C278" s="62" t="s">
        <v>12</v>
      </c>
      <c r="D278" s="63">
        <v>3</v>
      </c>
      <c r="E278" s="460">
        <v>83980</v>
      </c>
      <c r="F278" s="325">
        <f>ROUND((D278*E278),0)</f>
        <v>251940</v>
      </c>
    </row>
    <row r="279" spans="1:6" ht="25.5" x14ac:dyDescent="0.2">
      <c r="A279" s="60">
        <v>2.2000000000000002</v>
      </c>
      <c r="B279" s="485" t="s">
        <v>50</v>
      </c>
      <c r="C279" s="62" t="s">
        <v>22</v>
      </c>
      <c r="D279" s="63">
        <v>188</v>
      </c>
      <c r="E279" s="460">
        <v>5500</v>
      </c>
      <c r="F279" s="325">
        <f>ROUND((D279*E279),0)</f>
        <v>1034000</v>
      </c>
    </row>
    <row r="280" spans="1:6" x14ac:dyDescent="0.2">
      <c r="A280" s="246">
        <v>3</v>
      </c>
      <c r="B280" s="552" t="s">
        <v>51</v>
      </c>
      <c r="C280" s="248"/>
      <c r="D280" s="249"/>
      <c r="E280" s="461"/>
      <c r="F280" s="325"/>
    </row>
    <row r="281" spans="1:6" ht="25.5" x14ac:dyDescent="0.2">
      <c r="A281" s="60">
        <v>3.1</v>
      </c>
      <c r="B281" s="483" t="s">
        <v>52</v>
      </c>
      <c r="C281" s="62" t="s">
        <v>12</v>
      </c>
      <c r="D281" s="63">
        <v>15</v>
      </c>
      <c r="E281" s="460">
        <v>25687</v>
      </c>
      <c r="F281" s="325">
        <f t="shared" ref="F281:F283" si="12">ROUND((D281*E281),0)</f>
        <v>385305</v>
      </c>
    </row>
    <row r="282" spans="1:6" ht="25.5" x14ac:dyDescent="0.2">
      <c r="A282" s="60">
        <v>3.2</v>
      </c>
      <c r="B282" s="483" t="s">
        <v>53</v>
      </c>
      <c r="C282" s="62" t="s">
        <v>12</v>
      </c>
      <c r="D282" s="63">
        <v>30</v>
      </c>
      <c r="E282" s="97">
        <v>31640</v>
      </c>
      <c r="F282" s="325">
        <f t="shared" si="12"/>
        <v>949200</v>
      </c>
    </row>
    <row r="283" spans="1:6" ht="51" x14ac:dyDescent="0.2">
      <c r="A283" s="60">
        <v>3.3</v>
      </c>
      <c r="B283" s="95" t="s">
        <v>678</v>
      </c>
      <c r="C283" s="62" t="s">
        <v>12</v>
      </c>
      <c r="D283" s="63">
        <v>90</v>
      </c>
      <c r="E283" s="97">
        <v>65000</v>
      </c>
      <c r="F283" s="325">
        <f t="shared" si="12"/>
        <v>5850000</v>
      </c>
    </row>
    <row r="284" spans="1:6" ht="25.5" x14ac:dyDescent="0.2">
      <c r="A284" s="246">
        <v>4</v>
      </c>
      <c r="B284" s="552" t="s">
        <v>54</v>
      </c>
      <c r="C284" s="248"/>
      <c r="D284" s="249"/>
      <c r="E284" s="463"/>
      <c r="F284" s="325"/>
    </row>
    <row r="285" spans="1:6" ht="25.5" x14ac:dyDescent="0.2">
      <c r="A285" s="60">
        <v>4.0999999999999996</v>
      </c>
      <c r="B285" s="92" t="s">
        <v>55</v>
      </c>
      <c r="C285" s="62" t="s">
        <v>22</v>
      </c>
      <c r="D285" s="63">
        <v>16</v>
      </c>
      <c r="E285" s="460">
        <v>13098</v>
      </c>
      <c r="F285" s="325">
        <f>ROUND((D285*E285),0)</f>
        <v>209568</v>
      </c>
    </row>
    <row r="286" spans="1:6" ht="25.5" x14ac:dyDescent="0.2">
      <c r="A286" s="60">
        <v>4.2</v>
      </c>
      <c r="B286" s="92" t="s">
        <v>91</v>
      </c>
      <c r="C286" s="62" t="s">
        <v>22</v>
      </c>
      <c r="D286" s="63">
        <v>70</v>
      </c>
      <c r="E286" s="460">
        <v>15897</v>
      </c>
      <c r="F286" s="325">
        <f>ROUND((D286*E286),0)</f>
        <v>1112790</v>
      </c>
    </row>
    <row r="287" spans="1:6" ht="38.25" x14ac:dyDescent="0.2">
      <c r="A287" s="481">
        <v>4.3</v>
      </c>
      <c r="B287" s="553" t="s">
        <v>683</v>
      </c>
      <c r="C287" s="465" t="s">
        <v>14</v>
      </c>
      <c r="D287" s="466">
        <v>4</v>
      </c>
      <c r="E287" s="467">
        <v>65000</v>
      </c>
      <c r="F287" s="549">
        <f>SUM(D287*E287)</f>
        <v>260000</v>
      </c>
    </row>
    <row r="288" spans="1:6" x14ac:dyDescent="0.2">
      <c r="A288" s="246">
        <v>5</v>
      </c>
      <c r="B288" s="552" t="s">
        <v>56</v>
      </c>
      <c r="C288" s="248"/>
      <c r="D288" s="249"/>
      <c r="E288" s="461"/>
      <c r="F288" s="325"/>
    </row>
    <row r="289" spans="1:6" x14ac:dyDescent="0.2">
      <c r="A289" s="60">
        <v>5.0999999999999996</v>
      </c>
      <c r="B289" s="482" t="s">
        <v>57</v>
      </c>
      <c r="C289" s="62" t="s">
        <v>22</v>
      </c>
      <c r="D289" s="63">
        <v>50</v>
      </c>
      <c r="E289" s="460">
        <v>27450</v>
      </c>
      <c r="F289" s="325">
        <f>ROUND((D289*E289),0)</f>
        <v>1372500</v>
      </c>
    </row>
    <row r="290" spans="1:6" ht="25.5" x14ac:dyDescent="0.2">
      <c r="A290" s="246">
        <v>6</v>
      </c>
      <c r="B290" s="552" t="s">
        <v>58</v>
      </c>
      <c r="C290" s="248"/>
      <c r="D290" s="249"/>
      <c r="E290" s="461"/>
      <c r="F290" s="325"/>
    </row>
    <row r="291" spans="1:6" ht="51" x14ac:dyDescent="0.2">
      <c r="A291" s="60">
        <v>6.1</v>
      </c>
      <c r="B291" s="485" t="s">
        <v>59</v>
      </c>
      <c r="C291" s="62" t="s">
        <v>60</v>
      </c>
      <c r="D291" s="63">
        <v>4</v>
      </c>
      <c r="E291" s="459">
        <v>223256</v>
      </c>
      <c r="F291" s="325">
        <f>ROUND((D291*E291),0)</f>
        <v>893024</v>
      </c>
    </row>
    <row r="292" spans="1:6" x14ac:dyDescent="0.2">
      <c r="A292" s="246">
        <v>7</v>
      </c>
      <c r="B292" s="552" t="s">
        <v>61</v>
      </c>
      <c r="C292" s="248"/>
      <c r="D292" s="249"/>
      <c r="E292" s="461"/>
      <c r="F292" s="325"/>
    </row>
    <row r="293" spans="1:6" ht="25.5" x14ac:dyDescent="0.2">
      <c r="A293" s="60">
        <v>7.1</v>
      </c>
      <c r="B293" s="483" t="s">
        <v>62</v>
      </c>
      <c r="C293" s="62" t="s">
        <v>12</v>
      </c>
      <c r="D293" s="63">
        <v>15</v>
      </c>
      <c r="E293" s="460">
        <v>22686</v>
      </c>
      <c r="F293" s="325">
        <f>ROUND((D293*E293),0)</f>
        <v>340290</v>
      </c>
    </row>
    <row r="294" spans="1:6" ht="38.25" x14ac:dyDescent="0.2">
      <c r="A294" s="60">
        <v>7.2</v>
      </c>
      <c r="B294" s="92" t="s">
        <v>341</v>
      </c>
      <c r="C294" s="62" t="s">
        <v>12</v>
      </c>
      <c r="D294" s="63">
        <v>120</v>
      </c>
      <c r="E294" s="460">
        <v>92913</v>
      </c>
      <c r="F294" s="325">
        <f>ROUND((D294*E294),0)</f>
        <v>11149560</v>
      </c>
    </row>
    <row r="295" spans="1:6" ht="25.5" x14ac:dyDescent="0.2">
      <c r="A295" s="60">
        <v>7.3</v>
      </c>
      <c r="B295" s="483" t="s">
        <v>63</v>
      </c>
      <c r="C295" s="62" t="s">
        <v>12</v>
      </c>
      <c r="D295" s="63">
        <v>10.5</v>
      </c>
      <c r="E295" s="460">
        <v>104720</v>
      </c>
      <c r="F295" s="325">
        <f>ROUND((D295*E295),0)</f>
        <v>1099560</v>
      </c>
    </row>
    <row r="296" spans="1:6" ht="25.5" x14ac:dyDescent="0.2">
      <c r="A296" s="246">
        <v>8</v>
      </c>
      <c r="B296" s="552" t="s">
        <v>64</v>
      </c>
      <c r="C296" s="248"/>
      <c r="D296" s="249"/>
      <c r="E296" s="461"/>
      <c r="F296" s="325"/>
    </row>
    <row r="297" spans="1:6" ht="38.25" x14ac:dyDescent="0.2">
      <c r="A297" s="60">
        <v>8.1</v>
      </c>
      <c r="B297" s="485" t="s">
        <v>95</v>
      </c>
      <c r="C297" s="62" t="s">
        <v>12</v>
      </c>
      <c r="D297" s="63">
        <v>13.12</v>
      </c>
      <c r="E297" s="459">
        <v>106315</v>
      </c>
      <c r="F297" s="325">
        <f>ROUND((D297*E297),0)</f>
        <v>1394853</v>
      </c>
    </row>
    <row r="298" spans="1:6" ht="38.25" x14ac:dyDescent="0.2">
      <c r="A298" s="246">
        <v>9</v>
      </c>
      <c r="B298" s="552" t="s">
        <v>65</v>
      </c>
      <c r="C298" s="248"/>
      <c r="D298" s="249"/>
      <c r="E298" s="461"/>
      <c r="F298" s="325"/>
    </row>
    <row r="299" spans="1:6" ht="25.5" x14ac:dyDescent="0.2">
      <c r="A299" s="60">
        <v>9.1</v>
      </c>
      <c r="B299" s="485" t="s">
        <v>103</v>
      </c>
      <c r="C299" s="62" t="s">
        <v>14</v>
      </c>
      <c r="D299" s="63">
        <v>2</v>
      </c>
      <c r="E299" s="459">
        <v>92000</v>
      </c>
      <c r="F299" s="325">
        <f>ROUND((D299*E299),0)</f>
        <v>184000</v>
      </c>
    </row>
    <row r="300" spans="1:6" ht="51" x14ac:dyDescent="0.2">
      <c r="A300" s="60">
        <v>9.1999999999999993</v>
      </c>
      <c r="B300" s="485" t="s">
        <v>66</v>
      </c>
      <c r="C300" s="62" t="s">
        <v>22</v>
      </c>
      <c r="D300" s="63">
        <v>6</v>
      </c>
      <c r="E300" s="459">
        <v>451034</v>
      </c>
      <c r="F300" s="325">
        <f>ROUND((D300*E300),0)</f>
        <v>2706204</v>
      </c>
    </row>
    <row r="301" spans="1:6" ht="51" x14ac:dyDescent="0.2">
      <c r="A301" s="60">
        <v>9.3000000000000007</v>
      </c>
      <c r="B301" s="485" t="s">
        <v>67</v>
      </c>
      <c r="C301" s="62" t="s">
        <v>14</v>
      </c>
      <c r="D301" s="63">
        <v>2</v>
      </c>
      <c r="E301" s="459">
        <v>269000</v>
      </c>
      <c r="F301" s="325">
        <f>ROUND((D301*E301),0)</f>
        <v>538000</v>
      </c>
    </row>
    <row r="302" spans="1:6" ht="38.25" x14ac:dyDescent="0.2">
      <c r="A302" s="60">
        <v>9.4</v>
      </c>
      <c r="B302" s="485" t="s">
        <v>342</v>
      </c>
      <c r="C302" s="62" t="s">
        <v>14</v>
      </c>
      <c r="D302" s="63">
        <v>2</v>
      </c>
      <c r="E302" s="459">
        <v>905000</v>
      </c>
      <c r="F302" s="325">
        <f>ROUND((D302*E302),0)</f>
        <v>1810000</v>
      </c>
    </row>
    <row r="303" spans="1:6" x14ac:dyDescent="0.2">
      <c r="A303" s="246">
        <v>10</v>
      </c>
      <c r="B303" s="484" t="s">
        <v>69</v>
      </c>
      <c r="C303" s="248"/>
      <c r="D303" s="249"/>
      <c r="E303" s="461"/>
      <c r="F303" s="325"/>
    </row>
    <row r="304" spans="1:6" ht="51" x14ac:dyDescent="0.2">
      <c r="A304" s="60">
        <v>10.1</v>
      </c>
      <c r="B304" s="485" t="s">
        <v>70</v>
      </c>
      <c r="C304" s="62" t="s">
        <v>12</v>
      </c>
      <c r="D304" s="63">
        <v>133</v>
      </c>
      <c r="E304" s="460">
        <v>28500</v>
      </c>
      <c r="F304" s="325">
        <f>ROUND((D304*E304),0)</f>
        <v>3790500</v>
      </c>
    </row>
    <row r="305" spans="1:6" x14ac:dyDescent="0.2">
      <c r="A305" s="246">
        <v>11</v>
      </c>
      <c r="B305" s="484" t="s">
        <v>71</v>
      </c>
      <c r="C305" s="248"/>
      <c r="D305" s="249"/>
      <c r="E305" s="461"/>
      <c r="F305" s="325"/>
    </row>
    <row r="306" spans="1:6" ht="25.5" x14ac:dyDescent="0.2">
      <c r="A306" s="62">
        <v>11.1</v>
      </c>
      <c r="B306" s="483" t="s">
        <v>72</v>
      </c>
      <c r="C306" s="62" t="s">
        <v>12</v>
      </c>
      <c r="D306" s="63">
        <v>0.5</v>
      </c>
      <c r="E306" s="100">
        <v>573000</v>
      </c>
      <c r="F306" s="325">
        <f t="shared" ref="F306:F307" si="13">ROUND((D306*E306),0)</f>
        <v>286500</v>
      </c>
    </row>
    <row r="307" spans="1:6" ht="25.5" x14ac:dyDescent="0.2">
      <c r="A307" s="60">
        <v>11.2</v>
      </c>
      <c r="B307" s="95" t="s">
        <v>344</v>
      </c>
      <c r="C307" s="62" t="s">
        <v>12</v>
      </c>
      <c r="D307" s="63">
        <v>2</v>
      </c>
      <c r="E307" s="100">
        <v>900000</v>
      </c>
      <c r="F307" s="325">
        <f t="shared" si="13"/>
        <v>1800000</v>
      </c>
    </row>
    <row r="308" spans="1:6" x14ac:dyDescent="0.2">
      <c r="A308" s="246">
        <v>12</v>
      </c>
      <c r="B308" s="484" t="s">
        <v>74</v>
      </c>
      <c r="C308" s="248"/>
      <c r="D308" s="249"/>
      <c r="E308" s="461"/>
      <c r="F308" s="325"/>
    </row>
    <row r="309" spans="1:6" ht="39" thickBot="1" x14ac:dyDescent="0.25">
      <c r="A309" s="67">
        <v>12.1</v>
      </c>
      <c r="B309" s="486" t="s">
        <v>97</v>
      </c>
      <c r="C309" s="69" t="s">
        <v>75</v>
      </c>
      <c r="D309" s="70">
        <v>50</v>
      </c>
      <c r="E309" s="468">
        <v>5850</v>
      </c>
      <c r="F309" s="326">
        <f>ROUND((D309*E309),0)</f>
        <v>292500</v>
      </c>
    </row>
    <row r="310" spans="1:6" x14ac:dyDescent="0.2">
      <c r="A310" s="262">
        <v>13</v>
      </c>
      <c r="B310" s="109" t="s">
        <v>98</v>
      </c>
      <c r="C310" s="248"/>
      <c r="D310" s="470"/>
      <c r="E310" s="471"/>
      <c r="F310" s="325"/>
    </row>
    <row r="311" spans="1:6" ht="13.5" thickBot="1" x14ac:dyDescent="0.25">
      <c r="A311" s="472">
        <v>13.1</v>
      </c>
      <c r="B311" s="487" t="s">
        <v>106</v>
      </c>
      <c r="C311" s="473" t="s">
        <v>99</v>
      </c>
      <c r="D311" s="474">
        <v>1</v>
      </c>
      <c r="E311" s="468">
        <v>1500000</v>
      </c>
      <c r="F311" s="326">
        <f>ROUND((D311*E311),0)</f>
        <v>1500000</v>
      </c>
    </row>
    <row r="312" spans="1:6" x14ac:dyDescent="0.2">
      <c r="A312" s="475"/>
      <c r="B312" s="488" t="s">
        <v>30</v>
      </c>
      <c r="C312" s="477"/>
      <c r="D312" s="478"/>
      <c r="E312" s="479"/>
      <c r="F312" s="554">
        <f>ROUND(SUM(F269:F311),0)</f>
        <v>41936514</v>
      </c>
    </row>
    <row r="313" spans="1:6" x14ac:dyDescent="0.2">
      <c r="A313" s="613"/>
      <c r="B313" s="613" t="s">
        <v>77</v>
      </c>
      <c r="C313" s="79"/>
      <c r="D313" s="80"/>
      <c r="E313" s="82"/>
      <c r="F313" s="327"/>
    </row>
    <row r="314" spans="1:6" x14ac:dyDescent="0.2">
      <c r="A314" s="613"/>
      <c r="B314" s="613" t="s">
        <v>78</v>
      </c>
      <c r="C314" s="79"/>
      <c r="D314" s="80"/>
      <c r="E314" s="82"/>
      <c r="F314" s="347">
        <f>ROUND(F312/1.3495,0)</f>
        <v>31075594</v>
      </c>
    </row>
    <row r="315" spans="1:6" x14ac:dyDescent="0.2">
      <c r="A315" s="613"/>
      <c r="B315" s="613" t="s">
        <v>79</v>
      </c>
      <c r="C315" s="79"/>
      <c r="D315" s="112">
        <v>0.24</v>
      </c>
      <c r="E315" s="82"/>
      <c r="F315" s="347">
        <f>ROUND(F314*D315,0)</f>
        <v>7458143</v>
      </c>
    </row>
    <row r="316" spans="1:6" x14ac:dyDescent="0.2">
      <c r="A316" s="613"/>
      <c r="B316" s="613" t="s">
        <v>32</v>
      </c>
      <c r="C316" s="79"/>
      <c r="D316" s="112">
        <v>0.05</v>
      </c>
      <c r="E316" s="82"/>
      <c r="F316" s="347">
        <f>ROUND(F314*D316,0)</f>
        <v>1553780</v>
      </c>
    </row>
    <row r="317" spans="1:6" x14ac:dyDescent="0.2">
      <c r="A317" s="613"/>
      <c r="B317" s="613" t="s">
        <v>80</v>
      </c>
      <c r="C317" s="85"/>
      <c r="D317" s="112">
        <v>0.05</v>
      </c>
      <c r="E317" s="87"/>
      <c r="F317" s="347">
        <f>ROUND(F314*D317,0)</f>
        <v>1553780</v>
      </c>
    </row>
    <row r="318" spans="1:6" x14ac:dyDescent="0.2">
      <c r="A318" s="613"/>
      <c r="B318" s="613" t="s">
        <v>81</v>
      </c>
      <c r="C318" s="85"/>
      <c r="D318" s="112"/>
      <c r="E318" s="87"/>
      <c r="F318" s="347">
        <f>+F314+F315+F316+F317</f>
        <v>41641297</v>
      </c>
    </row>
    <row r="319" spans="1:6" x14ac:dyDescent="0.2">
      <c r="A319" s="613"/>
      <c r="B319" s="613" t="s">
        <v>82</v>
      </c>
      <c r="C319" s="85"/>
      <c r="D319" s="112">
        <v>0.19</v>
      </c>
      <c r="E319" s="87"/>
      <c r="F319" s="348">
        <f>ROUND(F317*D319,0)</f>
        <v>295218</v>
      </c>
    </row>
    <row r="320" spans="1:6" ht="25.5" x14ac:dyDescent="0.2">
      <c r="A320" s="89"/>
      <c r="B320" s="89" t="s">
        <v>83</v>
      </c>
      <c r="C320" s="85"/>
      <c r="D320" s="424"/>
      <c r="E320" s="87"/>
      <c r="F320" s="111">
        <f>ROUND(SUM(F318+F319),0)</f>
        <v>41936515</v>
      </c>
    </row>
    <row r="322" spans="1:6" ht="13.5" thickBot="1" x14ac:dyDescent="0.25"/>
    <row r="323" spans="1:6" ht="54" customHeight="1" thickBot="1" x14ac:dyDescent="0.25">
      <c r="A323" s="677" t="s">
        <v>352</v>
      </c>
      <c r="B323" s="678"/>
      <c r="C323" s="678"/>
      <c r="D323" s="678"/>
      <c r="E323" s="678"/>
      <c r="F323" s="679"/>
    </row>
    <row r="324" spans="1:6" ht="13.5" thickBot="1" x14ac:dyDescent="0.25">
      <c r="A324" s="54"/>
      <c r="B324" s="54"/>
      <c r="C324" s="54"/>
      <c r="D324" s="55"/>
      <c r="E324" s="56"/>
      <c r="F324" s="56"/>
    </row>
    <row r="325" spans="1:6" ht="13.5" thickBot="1" x14ac:dyDescent="0.25">
      <c r="A325" s="640" t="s">
        <v>15</v>
      </c>
      <c r="B325" s="642" t="s">
        <v>16</v>
      </c>
      <c r="C325" s="640" t="s">
        <v>33</v>
      </c>
      <c r="D325" s="644" t="s">
        <v>34</v>
      </c>
      <c r="E325" s="645"/>
      <c r="F325" s="646"/>
    </row>
    <row r="326" spans="1:6" ht="13.5" thickBot="1" x14ac:dyDescent="0.25">
      <c r="A326" s="641"/>
      <c r="B326" s="643"/>
      <c r="C326" s="641"/>
      <c r="D326" s="57" t="s">
        <v>35</v>
      </c>
      <c r="E326" s="58" t="s">
        <v>36</v>
      </c>
      <c r="F326" s="59" t="s">
        <v>37</v>
      </c>
    </row>
    <row r="327" spans="1:6" x14ac:dyDescent="0.2">
      <c r="A327" s="241">
        <v>1</v>
      </c>
      <c r="B327" s="242" t="s">
        <v>38</v>
      </c>
      <c r="C327" s="241"/>
      <c r="D327" s="243"/>
      <c r="E327" s="458"/>
      <c r="F327" s="245"/>
    </row>
    <row r="328" spans="1:6" ht="25.5" x14ac:dyDescent="0.2">
      <c r="A328" s="60">
        <v>1.1000000000000001</v>
      </c>
      <c r="B328" s="92" t="s">
        <v>40</v>
      </c>
      <c r="C328" s="62" t="s">
        <v>22</v>
      </c>
      <c r="D328" s="63">
        <v>84</v>
      </c>
      <c r="E328" s="459">
        <v>4867</v>
      </c>
      <c r="F328" s="325">
        <f>ROUND((D328*E328),0)</f>
        <v>408828</v>
      </c>
    </row>
    <row r="329" spans="1:6" ht="25.5" x14ac:dyDescent="0.2">
      <c r="A329" s="60">
        <v>1.2</v>
      </c>
      <c r="B329" s="483" t="s">
        <v>18</v>
      </c>
      <c r="C329" s="62" t="s">
        <v>22</v>
      </c>
      <c r="D329" s="63">
        <v>94</v>
      </c>
      <c r="E329" s="100">
        <v>9200</v>
      </c>
      <c r="F329" s="325">
        <f>ROUND((D329*E329),0)</f>
        <v>864800</v>
      </c>
    </row>
    <row r="330" spans="1:6" ht="25.5" x14ac:dyDescent="0.2">
      <c r="A330" s="60">
        <v>1.3</v>
      </c>
      <c r="B330" s="483" t="s">
        <v>44</v>
      </c>
      <c r="C330" s="62" t="s">
        <v>45</v>
      </c>
      <c r="D330" s="63">
        <v>2</v>
      </c>
      <c r="E330" s="97">
        <v>171600</v>
      </c>
      <c r="F330" s="325">
        <f>ROUND((D330*E330),0)</f>
        <v>343200</v>
      </c>
    </row>
    <row r="331" spans="1:6" ht="25.5" x14ac:dyDescent="0.2">
      <c r="A331" s="60">
        <v>1.4</v>
      </c>
      <c r="B331" s="483" t="s">
        <v>339</v>
      </c>
      <c r="C331" s="62" t="s">
        <v>45</v>
      </c>
      <c r="D331" s="63">
        <v>1</v>
      </c>
      <c r="E331" s="460">
        <v>662330</v>
      </c>
      <c r="F331" s="325">
        <f>ROUND((D331*E331),0)</f>
        <v>662330</v>
      </c>
    </row>
    <row r="332" spans="1:6" x14ac:dyDescent="0.2">
      <c r="A332" s="246">
        <v>2</v>
      </c>
      <c r="B332" s="552" t="s">
        <v>48</v>
      </c>
      <c r="C332" s="248"/>
      <c r="D332" s="249"/>
      <c r="E332" s="461"/>
      <c r="F332" s="325"/>
    </row>
    <row r="333" spans="1:6" ht="25.5" x14ac:dyDescent="0.2">
      <c r="A333" s="60">
        <v>2.1</v>
      </c>
      <c r="B333" s="485" t="s">
        <v>49</v>
      </c>
      <c r="C333" s="62" t="s">
        <v>12</v>
      </c>
      <c r="D333" s="63">
        <v>13.02</v>
      </c>
      <c r="E333" s="460">
        <v>83980</v>
      </c>
      <c r="F333" s="325">
        <f>ROUND((D333*E333),0)</f>
        <v>1093420</v>
      </c>
    </row>
    <row r="334" spans="1:6" ht="25.5" x14ac:dyDescent="0.2">
      <c r="A334" s="60">
        <v>2.2000000000000002</v>
      </c>
      <c r="B334" s="485" t="s">
        <v>50</v>
      </c>
      <c r="C334" s="62" t="s">
        <v>22</v>
      </c>
      <c r="D334" s="63">
        <v>20</v>
      </c>
      <c r="E334" s="460">
        <v>5500</v>
      </c>
      <c r="F334" s="325">
        <f>ROUND((D334*E334),0)</f>
        <v>110000</v>
      </c>
    </row>
    <row r="335" spans="1:6" x14ac:dyDescent="0.2">
      <c r="A335" s="246">
        <v>3</v>
      </c>
      <c r="B335" s="552" t="s">
        <v>51</v>
      </c>
      <c r="C335" s="248"/>
      <c r="D335" s="249"/>
      <c r="E335" s="461"/>
      <c r="F335" s="325"/>
    </row>
    <row r="336" spans="1:6" ht="25.5" x14ac:dyDescent="0.2">
      <c r="A336" s="60">
        <v>3.1</v>
      </c>
      <c r="B336" s="483" t="s">
        <v>52</v>
      </c>
      <c r="C336" s="62" t="s">
        <v>12</v>
      </c>
      <c r="D336" s="63">
        <v>16.11</v>
      </c>
      <c r="E336" s="460">
        <v>25687</v>
      </c>
      <c r="F336" s="325">
        <f t="shared" ref="F336:F338" si="14">ROUND((D336*E336),0)</f>
        <v>413818</v>
      </c>
    </row>
    <row r="337" spans="1:6" ht="25.5" x14ac:dyDescent="0.2">
      <c r="A337" s="60">
        <v>3.2</v>
      </c>
      <c r="B337" s="483" t="s">
        <v>53</v>
      </c>
      <c r="C337" s="62" t="s">
        <v>12</v>
      </c>
      <c r="D337" s="63">
        <v>21.48</v>
      </c>
      <c r="E337" s="97">
        <v>31640</v>
      </c>
      <c r="F337" s="325">
        <f t="shared" si="14"/>
        <v>679627</v>
      </c>
    </row>
    <row r="338" spans="1:6" ht="51" x14ac:dyDescent="0.2">
      <c r="A338" s="60">
        <v>3.3</v>
      </c>
      <c r="B338" s="92" t="s">
        <v>677</v>
      </c>
      <c r="C338" s="62" t="s">
        <v>12</v>
      </c>
      <c r="D338" s="63">
        <v>69.819999999999993</v>
      </c>
      <c r="E338" s="97">
        <v>65000</v>
      </c>
      <c r="F338" s="325">
        <f t="shared" si="14"/>
        <v>4538300</v>
      </c>
    </row>
    <row r="339" spans="1:6" ht="25.5" x14ac:dyDescent="0.2">
      <c r="A339" s="246">
        <v>4</v>
      </c>
      <c r="B339" s="552" t="s">
        <v>345</v>
      </c>
      <c r="C339" s="248"/>
      <c r="D339" s="249"/>
      <c r="E339" s="463"/>
      <c r="F339" s="325"/>
    </row>
    <row r="340" spans="1:6" ht="51" x14ac:dyDescent="0.2">
      <c r="A340" s="60">
        <v>4.0999999999999996</v>
      </c>
      <c r="B340" s="483" t="s">
        <v>353</v>
      </c>
      <c r="C340" s="62" t="s">
        <v>22</v>
      </c>
      <c r="D340" s="63">
        <v>42</v>
      </c>
      <c r="E340" s="462">
        <v>8500</v>
      </c>
      <c r="F340" s="325">
        <f>ROUND((D340*E340),0)</f>
        <v>357000</v>
      </c>
    </row>
    <row r="341" spans="1:6" ht="38.25" x14ac:dyDescent="0.2">
      <c r="A341" s="60">
        <v>4.2</v>
      </c>
      <c r="B341" s="483" t="s">
        <v>354</v>
      </c>
      <c r="C341" s="62" t="s">
        <v>14</v>
      </c>
      <c r="D341" s="63">
        <v>5</v>
      </c>
      <c r="E341" s="462">
        <v>65350</v>
      </c>
      <c r="F341" s="325">
        <f>ROUND((D341*E341),0)</f>
        <v>326750</v>
      </c>
    </row>
    <row r="342" spans="1:6" ht="25.5" x14ac:dyDescent="0.2">
      <c r="A342" s="246">
        <v>5</v>
      </c>
      <c r="B342" s="552" t="s">
        <v>54</v>
      </c>
      <c r="C342" s="248"/>
      <c r="D342" s="249"/>
      <c r="E342" s="463"/>
      <c r="F342" s="325"/>
    </row>
    <row r="343" spans="1:6" ht="25.5" x14ac:dyDescent="0.2">
      <c r="A343" s="60">
        <v>5.0999999999999996</v>
      </c>
      <c r="B343" s="95" t="s">
        <v>55</v>
      </c>
      <c r="C343" s="62" t="s">
        <v>22</v>
      </c>
      <c r="D343" s="63">
        <v>25</v>
      </c>
      <c r="E343" s="460">
        <v>13098</v>
      </c>
      <c r="F343" s="325">
        <f>ROUND((D343*E343),0)</f>
        <v>327450</v>
      </c>
    </row>
    <row r="344" spans="1:6" ht="25.5" x14ac:dyDescent="0.2">
      <c r="A344" s="60">
        <v>5.2</v>
      </c>
      <c r="B344" s="483" t="s">
        <v>89</v>
      </c>
      <c r="C344" s="62" t="s">
        <v>22</v>
      </c>
      <c r="D344" s="63">
        <v>42</v>
      </c>
      <c r="E344" s="460">
        <v>15897</v>
      </c>
      <c r="F344" s="325">
        <f>ROUND((D344*E344),0)</f>
        <v>667674</v>
      </c>
    </row>
    <row r="345" spans="1:6" ht="38.25" x14ac:dyDescent="0.2">
      <c r="A345" s="481">
        <v>5.3</v>
      </c>
      <c r="B345" s="95" t="s">
        <v>680</v>
      </c>
      <c r="C345" s="465" t="s">
        <v>14</v>
      </c>
      <c r="D345" s="466">
        <v>5</v>
      </c>
      <c r="E345" s="467">
        <v>65000</v>
      </c>
      <c r="F345" s="549">
        <f>SUM(D345*E345)</f>
        <v>325000</v>
      </c>
    </row>
    <row r="346" spans="1:6" x14ac:dyDescent="0.2">
      <c r="A346" s="246">
        <v>6</v>
      </c>
      <c r="B346" s="552" t="s">
        <v>56</v>
      </c>
      <c r="C346" s="248"/>
      <c r="D346" s="249"/>
      <c r="E346" s="461"/>
      <c r="F346" s="325"/>
    </row>
    <row r="347" spans="1:6" x14ac:dyDescent="0.2">
      <c r="A347" s="60">
        <v>6.1</v>
      </c>
      <c r="B347" s="483" t="s">
        <v>57</v>
      </c>
      <c r="C347" s="62" t="s">
        <v>22</v>
      </c>
      <c r="D347" s="63">
        <v>40</v>
      </c>
      <c r="E347" s="460">
        <v>27450</v>
      </c>
      <c r="F347" s="325">
        <f>ROUND((D347*E347),0)</f>
        <v>1098000</v>
      </c>
    </row>
    <row r="348" spans="1:6" ht="25.5" x14ac:dyDescent="0.2">
      <c r="A348" s="246">
        <v>7</v>
      </c>
      <c r="B348" s="552" t="s">
        <v>58</v>
      </c>
      <c r="C348" s="248"/>
      <c r="D348" s="249"/>
      <c r="E348" s="461"/>
      <c r="F348" s="325" t="s">
        <v>0</v>
      </c>
    </row>
    <row r="349" spans="1:6" ht="51" x14ac:dyDescent="0.2">
      <c r="A349" s="60">
        <v>7.1</v>
      </c>
      <c r="B349" s="485" t="s">
        <v>59</v>
      </c>
      <c r="C349" s="62" t="s">
        <v>60</v>
      </c>
      <c r="D349" s="63">
        <v>10</v>
      </c>
      <c r="E349" s="459">
        <v>223256</v>
      </c>
      <c r="F349" s="325">
        <f>ROUND((D349*E349),0)</f>
        <v>2232560</v>
      </c>
    </row>
    <row r="350" spans="1:6" x14ac:dyDescent="0.2">
      <c r="A350" s="246">
        <v>8</v>
      </c>
      <c r="B350" s="484" t="s">
        <v>61</v>
      </c>
      <c r="C350" s="248"/>
      <c r="D350" s="249"/>
      <c r="E350" s="461"/>
      <c r="F350" s="325"/>
    </row>
    <row r="351" spans="1:6" ht="25.5" x14ac:dyDescent="0.2">
      <c r="A351" s="60">
        <v>8.1</v>
      </c>
      <c r="B351" s="483" t="s">
        <v>62</v>
      </c>
      <c r="C351" s="62" t="s">
        <v>12</v>
      </c>
      <c r="D351" s="63">
        <v>10.74</v>
      </c>
      <c r="E351" s="460">
        <v>22686</v>
      </c>
      <c r="F351" s="325">
        <f>ROUND((D351*E351),0)</f>
        <v>243648</v>
      </c>
    </row>
    <row r="352" spans="1:6" ht="38.25" x14ac:dyDescent="0.2">
      <c r="A352" s="60">
        <v>8.1999999999999993</v>
      </c>
      <c r="B352" s="92" t="s">
        <v>348</v>
      </c>
      <c r="C352" s="62" t="s">
        <v>12</v>
      </c>
      <c r="D352" s="63">
        <v>115.57</v>
      </c>
      <c r="E352" s="460">
        <v>92913</v>
      </c>
      <c r="F352" s="325">
        <f>ROUND((D352*E352),0)</f>
        <v>10737955</v>
      </c>
    </row>
    <row r="353" spans="1:6" ht="25.5" x14ac:dyDescent="0.2">
      <c r="A353" s="60">
        <v>8.3000000000000007</v>
      </c>
      <c r="B353" s="483" t="s">
        <v>63</v>
      </c>
      <c r="C353" s="62" t="s">
        <v>12</v>
      </c>
      <c r="D353" s="63">
        <v>13.17</v>
      </c>
      <c r="E353" s="460">
        <v>104720</v>
      </c>
      <c r="F353" s="325">
        <f>ROUND((D353*E353),0)</f>
        <v>1379162</v>
      </c>
    </row>
    <row r="354" spans="1:6" ht="25.5" x14ac:dyDescent="0.2">
      <c r="A354" s="246">
        <v>9</v>
      </c>
      <c r="B354" s="552" t="s">
        <v>64</v>
      </c>
      <c r="C354" s="248"/>
      <c r="D354" s="249"/>
      <c r="E354" s="461"/>
      <c r="F354" s="325"/>
    </row>
    <row r="355" spans="1:6" ht="38.25" x14ac:dyDescent="0.2">
      <c r="A355" s="60">
        <v>9.1</v>
      </c>
      <c r="B355" s="485" t="s">
        <v>95</v>
      </c>
      <c r="C355" s="62" t="s">
        <v>12</v>
      </c>
      <c r="D355" s="63">
        <v>10.44</v>
      </c>
      <c r="E355" s="459">
        <v>106315</v>
      </c>
      <c r="F355" s="325">
        <f>ROUND((D355*E355),0)</f>
        <v>1109929</v>
      </c>
    </row>
    <row r="356" spans="1:6" ht="38.25" x14ac:dyDescent="0.2">
      <c r="A356" s="246">
        <v>10</v>
      </c>
      <c r="B356" s="552" t="s">
        <v>65</v>
      </c>
      <c r="C356" s="248"/>
      <c r="D356" s="249"/>
      <c r="E356" s="461"/>
      <c r="F356" s="325"/>
    </row>
    <row r="357" spans="1:6" ht="25.5" x14ac:dyDescent="0.2">
      <c r="A357" s="60">
        <v>10.1</v>
      </c>
      <c r="B357" s="485" t="s">
        <v>103</v>
      </c>
      <c r="C357" s="62" t="s">
        <v>14</v>
      </c>
      <c r="D357" s="63">
        <v>2</v>
      </c>
      <c r="E357" s="459">
        <v>92000</v>
      </c>
      <c r="F357" s="325">
        <f>ROUND((D357*E357),0)</f>
        <v>184000</v>
      </c>
    </row>
    <row r="358" spans="1:6" ht="51" x14ac:dyDescent="0.2">
      <c r="A358" s="60">
        <v>10.199999999999999</v>
      </c>
      <c r="B358" s="485" t="s">
        <v>66</v>
      </c>
      <c r="C358" s="62" t="s">
        <v>22</v>
      </c>
      <c r="D358" s="63">
        <v>3.2</v>
      </c>
      <c r="E358" s="459">
        <v>451034</v>
      </c>
      <c r="F358" s="325">
        <f>ROUND((D358*E358),0)</f>
        <v>1443309</v>
      </c>
    </row>
    <row r="359" spans="1:6" ht="51" x14ac:dyDescent="0.2">
      <c r="A359" s="60">
        <v>10.3</v>
      </c>
      <c r="B359" s="485" t="s">
        <v>67</v>
      </c>
      <c r="C359" s="62" t="s">
        <v>14</v>
      </c>
      <c r="D359" s="63">
        <v>2</v>
      </c>
      <c r="E359" s="459">
        <v>269000</v>
      </c>
      <c r="F359" s="325">
        <f>ROUND((D359*E359),0)</f>
        <v>538000</v>
      </c>
    </row>
    <row r="360" spans="1:6" ht="38.25" x14ac:dyDescent="0.2">
      <c r="A360" s="60">
        <v>10.4</v>
      </c>
      <c r="B360" s="485" t="s">
        <v>342</v>
      </c>
      <c r="C360" s="62" t="s">
        <v>14</v>
      </c>
      <c r="D360" s="63">
        <v>2</v>
      </c>
      <c r="E360" s="459">
        <v>905000</v>
      </c>
      <c r="F360" s="325">
        <f>ROUND((D360*E360),0)</f>
        <v>1810000</v>
      </c>
    </row>
    <row r="361" spans="1:6" x14ac:dyDescent="0.2">
      <c r="A361" s="246">
        <v>11</v>
      </c>
      <c r="B361" s="484" t="s">
        <v>69</v>
      </c>
      <c r="C361" s="248"/>
      <c r="D361" s="249"/>
      <c r="E361" s="461"/>
      <c r="F361" s="325"/>
    </row>
    <row r="362" spans="1:6" ht="51" x14ac:dyDescent="0.2">
      <c r="A362" s="60">
        <v>11.1</v>
      </c>
      <c r="B362" s="485" t="s">
        <v>70</v>
      </c>
      <c r="C362" s="62" t="s">
        <v>12</v>
      </c>
      <c r="D362" s="63">
        <v>173.24</v>
      </c>
      <c r="E362" s="460">
        <v>28500</v>
      </c>
      <c r="F362" s="325">
        <f>ROUND((D362*E362),0)</f>
        <v>4937340</v>
      </c>
    </row>
    <row r="363" spans="1:6" x14ac:dyDescent="0.2">
      <c r="A363" s="246">
        <v>12</v>
      </c>
      <c r="B363" s="484" t="s">
        <v>71</v>
      </c>
      <c r="C363" s="248"/>
      <c r="D363" s="249"/>
      <c r="E363" s="461"/>
      <c r="F363" s="325"/>
    </row>
    <row r="364" spans="1:6" ht="25.5" x14ac:dyDescent="0.2">
      <c r="A364" s="62">
        <v>12.1</v>
      </c>
      <c r="B364" s="483" t="s">
        <v>72</v>
      </c>
      <c r="C364" s="62" t="s">
        <v>12</v>
      </c>
      <c r="D364" s="63">
        <v>1.1299999999999999</v>
      </c>
      <c r="E364" s="100">
        <v>573000</v>
      </c>
      <c r="F364" s="325">
        <f t="shared" ref="F364:F365" si="15">ROUND((D364*E364),0)</f>
        <v>647490</v>
      </c>
    </row>
    <row r="365" spans="1:6" ht="25.5" x14ac:dyDescent="0.2">
      <c r="A365" s="60">
        <v>12.2</v>
      </c>
      <c r="B365" s="95" t="s">
        <v>349</v>
      </c>
      <c r="C365" s="62" t="s">
        <v>27</v>
      </c>
      <c r="D365" s="63">
        <v>20</v>
      </c>
      <c r="E365" s="100">
        <v>65000</v>
      </c>
      <c r="F365" s="325">
        <f t="shared" si="15"/>
        <v>1300000</v>
      </c>
    </row>
    <row r="366" spans="1:6" x14ac:dyDescent="0.2">
      <c r="A366" s="246">
        <v>13</v>
      </c>
      <c r="B366" s="484" t="s">
        <v>74</v>
      </c>
      <c r="C366" s="248"/>
      <c r="D366" s="249"/>
      <c r="E366" s="461"/>
      <c r="F366" s="325"/>
    </row>
    <row r="367" spans="1:6" ht="39" thickBot="1" x14ac:dyDescent="0.25">
      <c r="A367" s="67">
        <v>13.1</v>
      </c>
      <c r="B367" s="486" t="s">
        <v>97</v>
      </c>
      <c r="C367" s="69" t="s">
        <v>75</v>
      </c>
      <c r="D367" s="70">
        <v>180</v>
      </c>
      <c r="E367" s="468">
        <v>5850</v>
      </c>
      <c r="F367" s="326">
        <f>ROUND((D367*E367),0)</f>
        <v>1053000</v>
      </c>
    </row>
    <row r="368" spans="1:6" x14ac:dyDescent="0.2">
      <c r="A368" s="262">
        <v>14</v>
      </c>
      <c r="B368" s="109" t="s">
        <v>98</v>
      </c>
      <c r="C368" s="248"/>
      <c r="D368" s="470"/>
      <c r="E368" s="471"/>
      <c r="F368" s="325"/>
    </row>
    <row r="369" spans="1:6" x14ac:dyDescent="0.2">
      <c r="A369" s="103">
        <v>14.1</v>
      </c>
      <c r="B369" s="555" t="s">
        <v>106</v>
      </c>
      <c r="C369" s="104" t="s">
        <v>99</v>
      </c>
      <c r="D369" s="556">
        <v>1</v>
      </c>
      <c r="E369" s="557">
        <v>1500000</v>
      </c>
      <c r="F369" s="328">
        <f>ROUND((D369*E369),0)</f>
        <v>1500000</v>
      </c>
    </row>
    <row r="370" spans="1:6" x14ac:dyDescent="0.2">
      <c r="A370" s="107"/>
      <c r="B370" s="109" t="s">
        <v>660</v>
      </c>
      <c r="C370" s="79"/>
      <c r="D370" s="80"/>
      <c r="E370" s="82"/>
      <c r="F370" s="454">
        <f>ROUND(SUM(F327:F369),0)</f>
        <v>41332590</v>
      </c>
    </row>
    <row r="371" spans="1:6" x14ac:dyDescent="0.2">
      <c r="A371" s="613"/>
      <c r="B371" s="613" t="s">
        <v>77</v>
      </c>
      <c r="C371" s="614"/>
      <c r="D371" s="80"/>
      <c r="E371" s="82"/>
      <c r="F371" s="327"/>
    </row>
    <row r="372" spans="1:6" x14ac:dyDescent="0.2">
      <c r="A372" s="613"/>
      <c r="B372" s="613" t="s">
        <v>78</v>
      </c>
      <c r="C372" s="614"/>
      <c r="D372" s="80"/>
      <c r="E372" s="82"/>
      <c r="F372" s="347">
        <f>ROUND(F370/1.3495,0)</f>
        <v>30628077</v>
      </c>
    </row>
    <row r="373" spans="1:6" x14ac:dyDescent="0.2">
      <c r="A373" s="613"/>
      <c r="B373" s="613" t="s">
        <v>79</v>
      </c>
      <c r="C373" s="614"/>
      <c r="D373" s="112">
        <v>0.24</v>
      </c>
      <c r="E373" s="82"/>
      <c r="F373" s="347">
        <f>ROUND(F372*D373,0)</f>
        <v>7350738</v>
      </c>
    </row>
    <row r="374" spans="1:6" ht="25.5" customHeight="1" x14ac:dyDescent="0.2">
      <c r="A374" s="613"/>
      <c r="B374" s="613" t="s">
        <v>32</v>
      </c>
      <c r="C374" s="614"/>
      <c r="D374" s="112">
        <v>0.05</v>
      </c>
      <c r="E374" s="82"/>
      <c r="F374" s="347">
        <f>ROUND(F372*D374,0)</f>
        <v>1531404</v>
      </c>
    </row>
    <row r="375" spans="1:6" x14ac:dyDescent="0.2">
      <c r="A375" s="613"/>
      <c r="B375" s="613" t="s">
        <v>80</v>
      </c>
      <c r="C375" s="84"/>
      <c r="D375" s="112">
        <v>0.05</v>
      </c>
      <c r="E375" s="87"/>
      <c r="F375" s="347">
        <f>ROUND(F372*D375,0)</f>
        <v>1531404</v>
      </c>
    </row>
    <row r="376" spans="1:6" x14ac:dyDescent="0.2">
      <c r="A376" s="613"/>
      <c r="B376" s="613" t="s">
        <v>81</v>
      </c>
      <c r="C376" s="84"/>
      <c r="D376" s="112"/>
      <c r="E376" s="87"/>
      <c r="F376" s="347">
        <f>+F372+F373+F374+F375</f>
        <v>41041623</v>
      </c>
    </row>
    <row r="377" spans="1:6" ht="25.5" customHeight="1" x14ac:dyDescent="0.2">
      <c r="A377" s="613"/>
      <c r="B377" s="613" t="s">
        <v>82</v>
      </c>
      <c r="C377" s="84"/>
      <c r="D377" s="112">
        <v>0.19</v>
      </c>
      <c r="E377" s="87"/>
      <c r="F377" s="348">
        <f>ROUND(F375*D377,0)</f>
        <v>290967</v>
      </c>
    </row>
    <row r="378" spans="1:6" ht="25.5" x14ac:dyDescent="0.2">
      <c r="A378" s="89"/>
      <c r="B378" s="89" t="s">
        <v>83</v>
      </c>
      <c r="C378" s="84"/>
      <c r="D378" s="424"/>
      <c r="E378" s="87"/>
      <c r="F378" s="111">
        <f>ROUND(SUM(F376+F377),0)</f>
        <v>41332590</v>
      </c>
    </row>
    <row r="380" spans="1:6" ht="13.5" thickBot="1" x14ac:dyDescent="0.25"/>
    <row r="381" spans="1:6" ht="44.25" customHeight="1" thickBot="1" x14ac:dyDescent="0.25">
      <c r="A381" s="667" t="s">
        <v>355</v>
      </c>
      <c r="B381" s="668"/>
      <c r="C381" s="668"/>
      <c r="D381" s="668"/>
      <c r="E381" s="668"/>
      <c r="F381" s="669"/>
    </row>
    <row r="382" spans="1:6" ht="13.5" thickBot="1" x14ac:dyDescent="0.25">
      <c r="A382" s="489"/>
      <c r="B382" s="489"/>
      <c r="C382" s="489"/>
      <c r="D382" s="490"/>
      <c r="E382" s="491"/>
      <c r="F382" s="491"/>
    </row>
    <row r="383" spans="1:6" ht="13.5" thickBot="1" x14ac:dyDescent="0.25">
      <c r="A383" s="672" t="s">
        <v>15</v>
      </c>
      <c r="B383" s="670" t="s">
        <v>16</v>
      </c>
      <c r="C383" s="672" t="s">
        <v>33</v>
      </c>
      <c r="D383" s="674" t="s">
        <v>34</v>
      </c>
      <c r="E383" s="675"/>
      <c r="F383" s="676"/>
    </row>
    <row r="384" spans="1:6" ht="13.5" thickBot="1" x14ac:dyDescent="0.25">
      <c r="A384" s="673"/>
      <c r="B384" s="671"/>
      <c r="C384" s="673"/>
      <c r="D384" s="492" t="s">
        <v>35</v>
      </c>
      <c r="E384" s="493" t="s">
        <v>36</v>
      </c>
      <c r="F384" s="494" t="s">
        <v>37</v>
      </c>
    </row>
    <row r="385" spans="1:6" x14ac:dyDescent="0.2">
      <c r="A385" s="495">
        <v>1</v>
      </c>
      <c r="B385" s="496" t="s">
        <v>38</v>
      </c>
      <c r="C385" s="495"/>
      <c r="D385" s="497"/>
      <c r="E385" s="498"/>
      <c r="F385" s="499"/>
    </row>
    <row r="386" spans="1:6" ht="25.5" x14ac:dyDescent="0.2">
      <c r="A386" s="500" t="s">
        <v>39</v>
      </c>
      <c r="B386" s="501" t="s">
        <v>40</v>
      </c>
      <c r="C386" s="502" t="s">
        <v>22</v>
      </c>
      <c r="D386" s="503">
        <v>140</v>
      </c>
      <c r="E386" s="504">
        <v>4867</v>
      </c>
      <c r="F386" s="505">
        <f>ROUND((D386*E386),0)</f>
        <v>681380</v>
      </c>
    </row>
    <row r="387" spans="1:6" ht="25.5" x14ac:dyDescent="0.2">
      <c r="A387" s="500">
        <v>1.2</v>
      </c>
      <c r="B387" s="506" t="s">
        <v>18</v>
      </c>
      <c r="C387" s="502" t="s">
        <v>22</v>
      </c>
      <c r="D387" s="503">
        <v>150</v>
      </c>
      <c r="E387" s="507">
        <v>9200</v>
      </c>
      <c r="F387" s="505">
        <f>ROUND((D387*E387),0)</f>
        <v>1380000</v>
      </c>
    </row>
    <row r="388" spans="1:6" ht="25.5" x14ac:dyDescent="0.2">
      <c r="A388" s="500">
        <v>1.3</v>
      </c>
      <c r="B388" s="506" t="s">
        <v>44</v>
      </c>
      <c r="C388" s="502" t="s">
        <v>45</v>
      </c>
      <c r="D388" s="503">
        <v>2</v>
      </c>
      <c r="E388" s="97">
        <v>171600</v>
      </c>
      <c r="F388" s="505">
        <f>ROUND((D388*E388),0)</f>
        <v>343200</v>
      </c>
    </row>
    <row r="389" spans="1:6" ht="25.5" x14ac:dyDescent="0.2">
      <c r="A389" s="500">
        <v>1.4</v>
      </c>
      <c r="B389" s="501" t="s">
        <v>339</v>
      </c>
      <c r="C389" s="502" t="s">
        <v>45</v>
      </c>
      <c r="D389" s="503">
        <v>1</v>
      </c>
      <c r="E389" s="460">
        <v>662330</v>
      </c>
      <c r="F389" s="505">
        <f>ROUND((D389*E389),0)</f>
        <v>662330</v>
      </c>
    </row>
    <row r="390" spans="1:6" x14ac:dyDescent="0.2">
      <c r="A390" s="508">
        <v>2</v>
      </c>
      <c r="B390" s="509" t="s">
        <v>48</v>
      </c>
      <c r="C390" s="510"/>
      <c r="D390" s="511"/>
      <c r="E390" s="512"/>
      <c r="F390" s="505"/>
    </row>
    <row r="391" spans="1:6" ht="25.5" x14ac:dyDescent="0.2">
      <c r="A391" s="500">
        <v>2.1</v>
      </c>
      <c r="B391" s="513" t="s">
        <v>49</v>
      </c>
      <c r="C391" s="502" t="s">
        <v>12</v>
      </c>
      <c r="D391" s="503">
        <v>29.34</v>
      </c>
      <c r="E391" s="460">
        <v>83980</v>
      </c>
      <c r="F391" s="505">
        <f>ROUND((D391*E391),0)</f>
        <v>2463973</v>
      </c>
    </row>
    <row r="392" spans="1:6" ht="25.5" x14ac:dyDescent="0.2">
      <c r="A392" s="500">
        <v>2.2000000000000002</v>
      </c>
      <c r="B392" s="513" t="s">
        <v>50</v>
      </c>
      <c r="C392" s="502" t="s">
        <v>22</v>
      </c>
      <c r="D392" s="503">
        <v>176</v>
      </c>
      <c r="E392" s="460">
        <v>5500</v>
      </c>
      <c r="F392" s="505">
        <f>ROUND((D392*E392),0)</f>
        <v>968000</v>
      </c>
    </row>
    <row r="393" spans="1:6" x14ac:dyDescent="0.2">
      <c r="A393" s="508">
        <v>3</v>
      </c>
      <c r="B393" s="509" t="s">
        <v>51</v>
      </c>
      <c r="C393" s="510"/>
      <c r="D393" s="511"/>
      <c r="E393" s="512"/>
      <c r="F393" s="505"/>
    </row>
    <row r="394" spans="1:6" ht="25.5" x14ac:dyDescent="0.2">
      <c r="A394" s="500">
        <v>3.1</v>
      </c>
      <c r="B394" s="501" t="s">
        <v>52</v>
      </c>
      <c r="C394" s="502" t="s">
        <v>12</v>
      </c>
      <c r="D394" s="503">
        <v>34.909999999999997</v>
      </c>
      <c r="E394" s="460">
        <v>25687</v>
      </c>
      <c r="F394" s="505">
        <f t="shared" ref="F394:F396" si="16">ROUND((D394*E394),0)</f>
        <v>896733</v>
      </c>
    </row>
    <row r="395" spans="1:6" ht="25.5" x14ac:dyDescent="0.2">
      <c r="A395" s="514">
        <v>3.2</v>
      </c>
      <c r="B395" s="506" t="s">
        <v>53</v>
      </c>
      <c r="C395" s="515" t="s">
        <v>12</v>
      </c>
      <c r="D395" s="516">
        <v>46.55</v>
      </c>
      <c r="E395" s="517">
        <v>31640</v>
      </c>
      <c r="F395" s="518">
        <f t="shared" si="16"/>
        <v>1472842</v>
      </c>
    </row>
    <row r="396" spans="1:6" ht="51" x14ac:dyDescent="0.2">
      <c r="A396" s="500">
        <v>3.3</v>
      </c>
      <c r="B396" s="501" t="s">
        <v>677</v>
      </c>
      <c r="C396" s="502" t="s">
        <v>12</v>
      </c>
      <c r="D396" s="503">
        <v>151.27000000000001</v>
      </c>
      <c r="E396" s="97">
        <v>65000</v>
      </c>
      <c r="F396" s="505">
        <f t="shared" si="16"/>
        <v>9832550</v>
      </c>
    </row>
    <row r="397" spans="1:6" ht="25.5" x14ac:dyDescent="0.2">
      <c r="A397" s="508">
        <v>4</v>
      </c>
      <c r="B397" s="558" t="s">
        <v>345</v>
      </c>
      <c r="C397" s="510"/>
      <c r="D397" s="511"/>
      <c r="E397" s="519"/>
      <c r="F397" s="505"/>
    </row>
    <row r="398" spans="1:6" ht="51" x14ac:dyDescent="0.2">
      <c r="A398" s="500">
        <v>4.0999999999999996</v>
      </c>
      <c r="B398" s="506" t="s">
        <v>346</v>
      </c>
      <c r="C398" s="502" t="s">
        <v>22</v>
      </c>
      <c r="D398" s="503">
        <v>70</v>
      </c>
      <c r="E398" s="462">
        <v>17350</v>
      </c>
      <c r="F398" s="505">
        <f>ROUND((D398*E398),0)</f>
        <v>1214500</v>
      </c>
    </row>
    <row r="399" spans="1:6" ht="38.25" x14ac:dyDescent="0.2">
      <c r="A399" s="500">
        <v>4.2</v>
      </c>
      <c r="B399" s="506" t="s">
        <v>356</v>
      </c>
      <c r="C399" s="502" t="s">
        <v>14</v>
      </c>
      <c r="D399" s="503">
        <v>18</v>
      </c>
      <c r="E399" s="462">
        <v>77427</v>
      </c>
      <c r="F399" s="505">
        <f>ROUND((D399*E399),0)</f>
        <v>1393686</v>
      </c>
    </row>
    <row r="400" spans="1:6" x14ac:dyDescent="0.2">
      <c r="A400" s="508">
        <v>5</v>
      </c>
      <c r="B400" s="509" t="s">
        <v>54</v>
      </c>
      <c r="C400" s="510"/>
      <c r="D400" s="511"/>
      <c r="E400" s="519"/>
      <c r="F400" s="505"/>
    </row>
    <row r="401" spans="1:6" ht="25.5" x14ac:dyDescent="0.2">
      <c r="A401" s="500">
        <v>5.0999999999999996</v>
      </c>
      <c r="B401" s="501" t="s">
        <v>55</v>
      </c>
      <c r="C401" s="502" t="s">
        <v>22</v>
      </c>
      <c r="D401" s="503">
        <v>90</v>
      </c>
      <c r="E401" s="460">
        <v>13098</v>
      </c>
      <c r="F401" s="505">
        <f>ROUND((D401*E401),0)</f>
        <v>1178820</v>
      </c>
    </row>
    <row r="402" spans="1:6" ht="25.5" x14ac:dyDescent="0.2">
      <c r="A402" s="500">
        <v>5.2</v>
      </c>
      <c r="B402" s="506" t="s">
        <v>91</v>
      </c>
      <c r="C402" s="502" t="s">
        <v>22</v>
      </c>
      <c r="D402" s="503">
        <v>70</v>
      </c>
      <c r="E402" s="460">
        <v>15897</v>
      </c>
      <c r="F402" s="505">
        <f>ROUND((D402*E402),0)</f>
        <v>1112790</v>
      </c>
    </row>
    <row r="403" spans="1:6" ht="38.25" x14ac:dyDescent="0.2">
      <c r="A403" s="520">
        <v>5.3</v>
      </c>
      <c r="B403" s="506" t="s">
        <v>681</v>
      </c>
      <c r="C403" s="521" t="s">
        <v>14</v>
      </c>
      <c r="D403" s="522">
        <v>18</v>
      </c>
      <c r="E403" s="504">
        <v>65000</v>
      </c>
      <c r="F403" s="499">
        <f>SUM(D403*E403)</f>
        <v>1170000</v>
      </c>
    </row>
    <row r="404" spans="1:6" x14ac:dyDescent="0.2">
      <c r="A404" s="508">
        <v>6</v>
      </c>
      <c r="B404" s="509" t="s">
        <v>56</v>
      </c>
      <c r="C404" s="510"/>
      <c r="D404" s="511"/>
      <c r="E404" s="512"/>
      <c r="F404" s="505"/>
    </row>
    <row r="405" spans="1:6" x14ac:dyDescent="0.2">
      <c r="A405" s="500">
        <v>6.1</v>
      </c>
      <c r="B405" s="523" t="s">
        <v>57</v>
      </c>
      <c r="C405" s="502" t="s">
        <v>22</v>
      </c>
      <c r="D405" s="503">
        <v>70</v>
      </c>
      <c r="E405" s="460">
        <v>27450</v>
      </c>
      <c r="F405" s="505">
        <f>ROUND((D405*E405),0)</f>
        <v>1921500</v>
      </c>
    </row>
    <row r="406" spans="1:6" ht="25.5" x14ac:dyDescent="0.2">
      <c r="A406" s="508">
        <v>7</v>
      </c>
      <c r="B406" s="558" t="s">
        <v>58</v>
      </c>
      <c r="C406" s="510"/>
      <c r="D406" s="511"/>
      <c r="E406" s="512"/>
      <c r="F406" s="505">
        <f>ROUND((D406*E406),0)</f>
        <v>0</v>
      </c>
    </row>
    <row r="407" spans="1:6" ht="51" x14ac:dyDescent="0.2">
      <c r="A407" s="500">
        <v>7.1</v>
      </c>
      <c r="B407" s="513" t="s">
        <v>59</v>
      </c>
      <c r="C407" s="502" t="s">
        <v>60</v>
      </c>
      <c r="D407" s="503">
        <v>18</v>
      </c>
      <c r="E407" s="504">
        <v>223256</v>
      </c>
      <c r="F407" s="505">
        <f>ROUND((D407*E407),0)</f>
        <v>4018608</v>
      </c>
    </row>
    <row r="408" spans="1:6" x14ac:dyDescent="0.2">
      <c r="A408" s="508">
        <v>8</v>
      </c>
      <c r="B408" s="509" t="s">
        <v>61</v>
      </c>
      <c r="C408" s="510"/>
      <c r="D408" s="511"/>
      <c r="E408" s="512"/>
      <c r="F408" s="505"/>
    </row>
    <row r="409" spans="1:6" ht="25.5" x14ac:dyDescent="0.2">
      <c r="A409" s="500">
        <v>8.1</v>
      </c>
      <c r="B409" s="559" t="s">
        <v>62</v>
      </c>
      <c r="C409" s="502" t="s">
        <v>12</v>
      </c>
      <c r="D409" s="503">
        <v>23.27</v>
      </c>
      <c r="E409" s="460">
        <v>22686</v>
      </c>
      <c r="F409" s="505">
        <f>ROUND((D409*E409),0)</f>
        <v>527903</v>
      </c>
    </row>
    <row r="410" spans="1:6" ht="38.25" x14ac:dyDescent="0.2">
      <c r="A410" s="500">
        <v>8.1999999999999993</v>
      </c>
      <c r="B410" s="501" t="s">
        <v>348</v>
      </c>
      <c r="C410" s="502" t="s">
        <v>12</v>
      </c>
      <c r="D410" s="503">
        <v>240.96</v>
      </c>
      <c r="E410" s="460">
        <v>92913</v>
      </c>
      <c r="F410" s="505">
        <f>ROUND((D410*E410),0)</f>
        <v>22388316</v>
      </c>
    </row>
    <row r="411" spans="1:6" ht="25.5" x14ac:dyDescent="0.2">
      <c r="A411" s="500">
        <v>8.3000000000000007</v>
      </c>
      <c r="B411" s="559" t="s">
        <v>63</v>
      </c>
      <c r="C411" s="502" t="s">
        <v>12</v>
      </c>
      <c r="D411" s="503">
        <v>21.95</v>
      </c>
      <c r="E411" s="460">
        <v>104720</v>
      </c>
      <c r="F411" s="505">
        <f>ROUND((D411*E411),0)</f>
        <v>2298604</v>
      </c>
    </row>
    <row r="412" spans="1:6" ht="25.5" x14ac:dyDescent="0.2">
      <c r="A412" s="508">
        <v>9</v>
      </c>
      <c r="B412" s="558" t="s">
        <v>64</v>
      </c>
      <c r="C412" s="510"/>
      <c r="D412" s="511"/>
      <c r="E412" s="512"/>
      <c r="F412" s="505"/>
    </row>
    <row r="413" spans="1:6" ht="38.25" x14ac:dyDescent="0.2">
      <c r="A413" s="500">
        <v>9.1</v>
      </c>
      <c r="B413" s="513" t="s">
        <v>95</v>
      </c>
      <c r="C413" s="502" t="s">
        <v>12</v>
      </c>
      <c r="D413" s="503">
        <v>18.12</v>
      </c>
      <c r="E413" s="504">
        <v>106315</v>
      </c>
      <c r="F413" s="505">
        <f>ROUND((D413*E413),0)</f>
        <v>1926428</v>
      </c>
    </row>
    <row r="414" spans="1:6" ht="38.25" x14ac:dyDescent="0.2">
      <c r="A414" s="508">
        <v>10</v>
      </c>
      <c r="B414" s="524" t="s">
        <v>65</v>
      </c>
      <c r="C414" s="510"/>
      <c r="D414" s="511"/>
      <c r="E414" s="512"/>
      <c r="F414" s="505"/>
    </row>
    <row r="415" spans="1:6" ht="25.5" x14ac:dyDescent="0.2">
      <c r="A415" s="500">
        <v>10.1</v>
      </c>
      <c r="B415" s="513" t="s">
        <v>103</v>
      </c>
      <c r="C415" s="502" t="s">
        <v>14</v>
      </c>
      <c r="D415" s="503">
        <v>3</v>
      </c>
      <c r="E415" s="504">
        <v>92000</v>
      </c>
      <c r="F415" s="505">
        <f>ROUND((D415*E415),0)</f>
        <v>276000</v>
      </c>
    </row>
    <row r="416" spans="1:6" ht="51" x14ac:dyDescent="0.2">
      <c r="A416" s="500">
        <v>10.199999999999999</v>
      </c>
      <c r="B416" s="513" t="s">
        <v>66</v>
      </c>
      <c r="C416" s="502" t="s">
        <v>22</v>
      </c>
      <c r="D416" s="503">
        <v>4.8000000000000007</v>
      </c>
      <c r="E416" s="504">
        <v>451034</v>
      </c>
      <c r="F416" s="505">
        <f>ROUND((D416*E416),0)</f>
        <v>2164963</v>
      </c>
    </row>
    <row r="417" spans="1:6" ht="51" x14ac:dyDescent="0.2">
      <c r="A417" s="500">
        <v>10.3</v>
      </c>
      <c r="B417" s="513" t="s">
        <v>67</v>
      </c>
      <c r="C417" s="502" t="s">
        <v>14</v>
      </c>
      <c r="D417" s="503">
        <v>3</v>
      </c>
      <c r="E417" s="504">
        <v>269000</v>
      </c>
      <c r="F417" s="505">
        <f>ROUND((D417*E417),0)</f>
        <v>807000</v>
      </c>
    </row>
    <row r="418" spans="1:6" ht="38.25" x14ac:dyDescent="0.2">
      <c r="A418" s="500">
        <v>10.4</v>
      </c>
      <c r="B418" s="513" t="s">
        <v>357</v>
      </c>
      <c r="C418" s="502" t="s">
        <v>14</v>
      </c>
      <c r="D418" s="503">
        <v>3</v>
      </c>
      <c r="E418" s="504">
        <v>905000</v>
      </c>
      <c r="F418" s="505">
        <f>ROUND((D418*E418),0)</f>
        <v>2715000</v>
      </c>
    </row>
    <row r="419" spans="1:6" x14ac:dyDescent="0.2">
      <c r="A419" s="508">
        <v>11</v>
      </c>
      <c r="B419" s="509" t="s">
        <v>69</v>
      </c>
      <c r="C419" s="510"/>
      <c r="D419" s="511"/>
      <c r="E419" s="512"/>
      <c r="F419" s="505"/>
    </row>
    <row r="420" spans="1:6" ht="51" x14ac:dyDescent="0.2">
      <c r="A420" s="500">
        <v>11.1</v>
      </c>
      <c r="B420" s="513" t="s">
        <v>70</v>
      </c>
      <c r="C420" s="502" t="s">
        <v>12</v>
      </c>
      <c r="D420" s="560">
        <v>348.79300000000001</v>
      </c>
      <c r="E420" s="460">
        <v>28500</v>
      </c>
      <c r="F420" s="505">
        <f>ROUND((D420*E420),0)</f>
        <v>9940601</v>
      </c>
    </row>
    <row r="421" spans="1:6" x14ac:dyDescent="0.2">
      <c r="A421" s="508">
        <v>12</v>
      </c>
      <c r="B421" s="509" t="s">
        <v>71</v>
      </c>
      <c r="C421" s="510"/>
      <c r="D421" s="511"/>
      <c r="E421" s="512"/>
      <c r="F421" s="505"/>
    </row>
    <row r="422" spans="1:6" x14ac:dyDescent="0.2">
      <c r="A422" s="502">
        <v>12.1</v>
      </c>
      <c r="B422" s="523" t="s">
        <v>72</v>
      </c>
      <c r="C422" s="502" t="s">
        <v>12</v>
      </c>
      <c r="D422" s="503">
        <v>4.0500000000000007</v>
      </c>
      <c r="E422" s="507">
        <v>573000</v>
      </c>
      <c r="F422" s="505">
        <f t="shared" ref="F422:F423" si="17">ROUND((D422*E422),0)</f>
        <v>2320650</v>
      </c>
    </row>
    <row r="423" spans="1:6" ht="25.5" x14ac:dyDescent="0.2">
      <c r="A423" s="500">
        <v>12.2</v>
      </c>
      <c r="B423" s="506" t="s">
        <v>349</v>
      </c>
      <c r="C423" s="502" t="s">
        <v>27</v>
      </c>
      <c r="D423" s="503">
        <v>20</v>
      </c>
      <c r="E423" s="507">
        <v>65000</v>
      </c>
      <c r="F423" s="505">
        <f t="shared" si="17"/>
        <v>1300000</v>
      </c>
    </row>
    <row r="424" spans="1:6" x14ac:dyDescent="0.2">
      <c r="A424" s="508">
        <v>13</v>
      </c>
      <c r="B424" s="509" t="s">
        <v>74</v>
      </c>
      <c r="C424" s="510"/>
      <c r="D424" s="511"/>
      <c r="E424" s="512"/>
      <c r="F424" s="505"/>
    </row>
    <row r="425" spans="1:6" ht="39" thickBot="1" x14ac:dyDescent="0.25">
      <c r="A425" s="525">
        <v>13.1</v>
      </c>
      <c r="B425" s="526" t="s">
        <v>97</v>
      </c>
      <c r="C425" s="527" t="s">
        <v>75</v>
      </c>
      <c r="D425" s="528">
        <v>270</v>
      </c>
      <c r="E425" s="529">
        <v>5850</v>
      </c>
      <c r="F425" s="530">
        <f>ROUND((D425*E425),0)</f>
        <v>1579500</v>
      </c>
    </row>
    <row r="426" spans="1:6" x14ac:dyDescent="0.2">
      <c r="A426" s="531">
        <v>14</v>
      </c>
      <c r="B426" s="336" t="s">
        <v>98</v>
      </c>
      <c r="C426" s="510"/>
      <c r="D426" s="532"/>
      <c r="E426" s="533"/>
      <c r="F426" s="505"/>
    </row>
    <row r="427" spans="1:6" ht="13.5" thickBot="1" x14ac:dyDescent="0.25">
      <c r="A427" s="534">
        <v>14.1</v>
      </c>
      <c r="B427" s="535" t="s">
        <v>106</v>
      </c>
      <c r="C427" s="536" t="s">
        <v>99</v>
      </c>
      <c r="D427" s="537">
        <v>1</v>
      </c>
      <c r="E427" s="529">
        <f>1500000-57</f>
        <v>1499943</v>
      </c>
      <c r="F427" s="530">
        <f>ROUND((D427*E427),0)</f>
        <v>1499943</v>
      </c>
    </row>
    <row r="428" spans="1:6" x14ac:dyDescent="0.2">
      <c r="A428" s="538"/>
      <c r="B428" s="539" t="s">
        <v>660</v>
      </c>
      <c r="C428" s="540"/>
      <c r="D428" s="541"/>
      <c r="E428" s="542"/>
      <c r="F428" s="554">
        <f>ROUND(SUM(F385:F427),0)</f>
        <v>80455820</v>
      </c>
    </row>
    <row r="429" spans="1:6" x14ac:dyDescent="0.2">
      <c r="A429" s="609"/>
      <c r="B429" s="609" t="s">
        <v>77</v>
      </c>
      <c r="C429" s="610"/>
      <c r="D429" s="584"/>
      <c r="E429" s="337"/>
      <c r="F429" s="337"/>
    </row>
    <row r="430" spans="1:6" x14ac:dyDescent="0.2">
      <c r="A430" s="609"/>
      <c r="B430" s="609" t="s">
        <v>78</v>
      </c>
      <c r="C430" s="610"/>
      <c r="D430" s="584"/>
      <c r="E430" s="337"/>
      <c r="F430" s="347">
        <f>ROUND(F428/1.3495,0)</f>
        <v>59618985</v>
      </c>
    </row>
    <row r="431" spans="1:6" x14ac:dyDescent="0.2">
      <c r="A431" s="609"/>
      <c r="B431" s="609" t="s">
        <v>79</v>
      </c>
      <c r="C431" s="610"/>
      <c r="D431" s="112">
        <v>0.24</v>
      </c>
      <c r="E431" s="337"/>
      <c r="F431" s="347">
        <f>ROUND(F430*D431,0)</f>
        <v>14308556</v>
      </c>
    </row>
    <row r="432" spans="1:6" x14ac:dyDescent="0.2">
      <c r="A432" s="609"/>
      <c r="B432" s="609" t="s">
        <v>32</v>
      </c>
      <c r="C432" s="610"/>
      <c r="D432" s="112">
        <v>0.05</v>
      </c>
      <c r="E432" s="337"/>
      <c r="F432" s="347">
        <f>ROUND(F430*D432,0)</f>
        <v>2980949</v>
      </c>
    </row>
    <row r="433" spans="1:6" x14ac:dyDescent="0.2">
      <c r="A433" s="609"/>
      <c r="B433" s="609" t="s">
        <v>80</v>
      </c>
      <c r="C433" s="611"/>
      <c r="D433" s="112">
        <v>0.05</v>
      </c>
      <c r="E433" s="585"/>
      <c r="F433" s="347">
        <f>ROUND(F430*D433,0)</f>
        <v>2980949</v>
      </c>
    </row>
    <row r="434" spans="1:6" x14ac:dyDescent="0.2">
      <c r="A434" s="609"/>
      <c r="B434" s="609" t="s">
        <v>81</v>
      </c>
      <c r="C434" s="611"/>
      <c r="D434" s="112"/>
      <c r="E434" s="585"/>
      <c r="F434" s="347">
        <f>ROUND(F430+F431+F432+F433,0)</f>
        <v>79889439</v>
      </c>
    </row>
    <row r="435" spans="1:6" x14ac:dyDescent="0.2">
      <c r="A435" s="609"/>
      <c r="B435" s="609" t="s">
        <v>82</v>
      </c>
      <c r="C435" s="611"/>
      <c r="D435" s="112">
        <v>0.19</v>
      </c>
      <c r="E435" s="585"/>
      <c r="F435" s="348">
        <f>ROUND(F433*D435,0)</f>
        <v>566380</v>
      </c>
    </row>
    <row r="436" spans="1:6" ht="25.5" x14ac:dyDescent="0.2">
      <c r="A436" s="612"/>
      <c r="B436" s="612" t="s">
        <v>83</v>
      </c>
      <c r="C436" s="611"/>
      <c r="D436" s="586"/>
      <c r="E436" s="585"/>
      <c r="F436" s="111">
        <f>ROUND(SUM(F434+F435),0)</f>
        <v>80455819</v>
      </c>
    </row>
    <row r="441" spans="1:6" x14ac:dyDescent="0.2">
      <c r="B441" s="238" t="s">
        <v>766</v>
      </c>
      <c r="D441" s="561">
        <f>F56+F101+F141</f>
        <v>328636189</v>
      </c>
    </row>
    <row r="442" spans="1:6" x14ac:dyDescent="0.2">
      <c r="B442" s="238" t="s">
        <v>767</v>
      </c>
      <c r="D442" s="561">
        <f>F200+F257+F320+F370+F428</f>
        <v>281877963</v>
      </c>
    </row>
    <row r="443" spans="1:6" x14ac:dyDescent="0.2">
      <c r="B443" s="238" t="s">
        <v>0</v>
      </c>
      <c r="D443" s="355"/>
    </row>
    <row r="444" spans="1:6" x14ac:dyDescent="0.2">
      <c r="B444" s="238"/>
      <c r="D444" s="355"/>
    </row>
    <row r="445" spans="1:6" x14ac:dyDescent="0.2">
      <c r="B445" s="238" t="s">
        <v>764</v>
      </c>
      <c r="D445" s="561">
        <f>SUM(D441:D444)</f>
        <v>610514152</v>
      </c>
    </row>
  </sheetData>
  <mergeCells count="41">
    <mergeCell ref="C62:E62"/>
    <mergeCell ref="A4:F4"/>
    <mergeCell ref="A6:A7"/>
    <mergeCell ref="B6:B7"/>
    <mergeCell ref="C6:C7"/>
    <mergeCell ref="D6:F6"/>
    <mergeCell ref="A59:F59"/>
    <mergeCell ref="A60:A61"/>
    <mergeCell ref="B60:B61"/>
    <mergeCell ref="C60:C61"/>
    <mergeCell ref="D60:F60"/>
    <mergeCell ref="A213:A214"/>
    <mergeCell ref="B213:B214"/>
    <mergeCell ref="C213:C214"/>
    <mergeCell ref="D213:F213"/>
    <mergeCell ref="B93:E93"/>
    <mergeCell ref="A104:F104"/>
    <mergeCell ref="A105:A106"/>
    <mergeCell ref="B105:B106"/>
    <mergeCell ref="E105:F105"/>
    <mergeCell ref="A152:F152"/>
    <mergeCell ref="A154:A155"/>
    <mergeCell ref="B154:B155"/>
    <mergeCell ref="C154:C155"/>
    <mergeCell ref="D154:F154"/>
    <mergeCell ref="A211:F211"/>
    <mergeCell ref="A325:A326"/>
    <mergeCell ref="B325:B326"/>
    <mergeCell ref="C325:C326"/>
    <mergeCell ref="D325:F325"/>
    <mergeCell ref="A268:F268"/>
    <mergeCell ref="A270:A271"/>
    <mergeCell ref="B270:B271"/>
    <mergeCell ref="C270:C271"/>
    <mergeCell ref="D270:F270"/>
    <mergeCell ref="A323:F323"/>
    <mergeCell ref="A381:F381"/>
    <mergeCell ref="B383:B384"/>
    <mergeCell ref="C383:C384"/>
    <mergeCell ref="D383:F383"/>
    <mergeCell ref="A383:A384"/>
  </mergeCells>
  <printOptions horizontalCentered="1" verticalCentered="1"/>
  <pageMargins left="0.70866141732283472" right="0.70866141732283472" top="0.27559055118110237" bottom="0.31496062992125984" header="0.31496062992125984" footer="0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5"/>
  <sheetViews>
    <sheetView tabSelected="1" zoomScaleNormal="100" workbookViewId="0">
      <pane xSplit="3" ySplit="1" topLeftCell="D393" activePane="bottomRight" state="frozen"/>
      <selection activeCell="A483" sqref="A483:F521"/>
      <selection pane="topRight" activeCell="A483" sqref="A483:F521"/>
      <selection pane="bottomLeft" activeCell="A483" sqref="A483:F521"/>
      <selection pane="bottomRight" activeCell="H471" sqref="H471"/>
    </sheetView>
  </sheetViews>
  <sheetFormatPr baseColWidth="10" defaultRowHeight="12.75" x14ac:dyDescent="0.2"/>
  <cols>
    <col min="1" max="1" width="11.42578125" style="6"/>
    <col min="2" max="2" width="37.140625" style="6" customWidth="1"/>
    <col min="3" max="3" width="15.7109375" style="6" customWidth="1"/>
    <col min="4" max="4" width="12.28515625" style="329" bestFit="1" customWidth="1"/>
    <col min="5" max="5" width="15.28515625" style="330" customWidth="1"/>
    <col min="6" max="6" width="20.85546875" style="6" customWidth="1"/>
    <col min="7" max="16384" width="11.42578125" style="6"/>
  </cols>
  <sheetData>
    <row r="1" spans="1:6" x14ac:dyDescent="0.2">
      <c r="A1" s="577"/>
      <c r="B1" s="577"/>
      <c r="C1" s="577"/>
      <c r="D1" s="578"/>
      <c r="E1" s="579"/>
      <c r="F1" s="577"/>
    </row>
    <row r="2" spans="1:6" x14ac:dyDescent="0.2">
      <c r="A2" s="577"/>
      <c r="B2" s="696" t="s">
        <v>768</v>
      </c>
      <c r="C2" s="696"/>
      <c r="D2" s="696"/>
      <c r="E2" s="696"/>
      <c r="F2" s="696"/>
    </row>
    <row r="3" spans="1:6" x14ac:dyDescent="0.2">
      <c r="A3" s="577"/>
      <c r="B3" s="577"/>
      <c r="C3" s="577"/>
      <c r="D3" s="578"/>
      <c r="E3" s="579"/>
      <c r="F3" s="577"/>
    </row>
    <row r="4" spans="1:6" x14ac:dyDescent="0.2">
      <c r="A4" s="687" t="s">
        <v>318</v>
      </c>
      <c r="B4" s="687"/>
      <c r="C4" s="687"/>
      <c r="D4" s="687"/>
      <c r="E4" s="687"/>
      <c r="F4" s="687"/>
    </row>
    <row r="5" spans="1:6" x14ac:dyDescent="0.2">
      <c r="A5" s="685" t="s">
        <v>15</v>
      </c>
      <c r="B5" s="685" t="s">
        <v>16</v>
      </c>
      <c r="C5" s="685" t="s">
        <v>33</v>
      </c>
      <c r="D5" s="685" t="s">
        <v>34</v>
      </c>
      <c r="E5" s="685"/>
      <c r="F5" s="685"/>
    </row>
    <row r="6" spans="1:6" x14ac:dyDescent="0.2">
      <c r="A6" s="685"/>
      <c r="B6" s="685"/>
      <c r="C6" s="685"/>
      <c r="D6" s="7" t="s">
        <v>35</v>
      </c>
      <c r="E6" s="7" t="s">
        <v>36</v>
      </c>
      <c r="F6" s="7" t="s">
        <v>37</v>
      </c>
    </row>
    <row r="7" spans="1:6" x14ac:dyDescent="0.2">
      <c r="A7" s="130">
        <v>1</v>
      </c>
      <c r="B7" s="8" t="s">
        <v>38</v>
      </c>
      <c r="C7" s="685"/>
      <c r="D7" s="685"/>
      <c r="E7" s="685"/>
      <c r="F7" s="9"/>
    </row>
    <row r="8" spans="1:6" ht="25.5" x14ac:dyDescent="0.2">
      <c r="A8" s="10">
        <v>2</v>
      </c>
      <c r="B8" s="5" t="s">
        <v>146</v>
      </c>
      <c r="C8" s="2" t="s">
        <v>22</v>
      </c>
      <c r="D8" s="3">
        <v>84</v>
      </c>
      <c r="E8" s="13">
        <v>4828</v>
      </c>
      <c r="F8" s="14">
        <f t="shared" ref="F8:F38" si="0">ROUND(D8*E8,0)</f>
        <v>405552</v>
      </c>
    </row>
    <row r="9" spans="1:6" x14ac:dyDescent="0.2">
      <c r="A9" s="130">
        <v>3</v>
      </c>
      <c r="B9" s="5" t="s">
        <v>191</v>
      </c>
      <c r="C9" s="2" t="s">
        <v>27</v>
      </c>
      <c r="D9" s="3">
        <v>504</v>
      </c>
      <c r="E9" s="13">
        <v>8377</v>
      </c>
      <c r="F9" s="14">
        <f t="shared" si="0"/>
        <v>4222008</v>
      </c>
    </row>
    <row r="10" spans="1:6" ht="25.5" x14ac:dyDescent="0.2">
      <c r="A10" s="10">
        <v>4</v>
      </c>
      <c r="B10" s="5" t="s">
        <v>18</v>
      </c>
      <c r="C10" s="2" t="s">
        <v>22</v>
      </c>
      <c r="D10" s="3">
        <v>180</v>
      </c>
      <c r="E10" s="13">
        <v>12600</v>
      </c>
      <c r="F10" s="14">
        <f t="shared" si="0"/>
        <v>2268000</v>
      </c>
    </row>
    <row r="11" spans="1:6" x14ac:dyDescent="0.2">
      <c r="A11" s="130">
        <v>5</v>
      </c>
      <c r="B11" s="5" t="s">
        <v>19</v>
      </c>
      <c r="C11" s="2" t="s">
        <v>45</v>
      </c>
      <c r="D11" s="3">
        <v>2</v>
      </c>
      <c r="E11" s="13">
        <v>143842</v>
      </c>
      <c r="F11" s="14">
        <f t="shared" si="0"/>
        <v>287684</v>
      </c>
    </row>
    <row r="12" spans="1:6" x14ac:dyDescent="0.2">
      <c r="A12" s="10">
        <v>6</v>
      </c>
      <c r="B12" s="5" t="s">
        <v>20</v>
      </c>
      <c r="C12" s="2" t="s">
        <v>45</v>
      </c>
      <c r="D12" s="3">
        <v>1</v>
      </c>
      <c r="E12" s="13">
        <v>728158</v>
      </c>
      <c r="F12" s="14">
        <f t="shared" si="0"/>
        <v>728158</v>
      </c>
    </row>
    <row r="13" spans="1:6" x14ac:dyDescent="0.2">
      <c r="A13" s="130">
        <v>7</v>
      </c>
      <c r="B13" s="8" t="s">
        <v>48</v>
      </c>
      <c r="C13" s="15"/>
      <c r="D13" s="15"/>
      <c r="E13" s="13"/>
      <c r="F13" s="14" t="s">
        <v>0</v>
      </c>
    </row>
    <row r="14" spans="1:6" x14ac:dyDescent="0.2">
      <c r="A14" s="10">
        <v>8</v>
      </c>
      <c r="B14" s="16" t="s">
        <v>111</v>
      </c>
      <c r="C14" s="2" t="s">
        <v>22</v>
      </c>
      <c r="D14" s="3">
        <v>264</v>
      </c>
      <c r="E14" s="13">
        <v>7065</v>
      </c>
      <c r="F14" s="14">
        <f t="shared" si="0"/>
        <v>1865160</v>
      </c>
    </row>
    <row r="15" spans="1:6" ht="38.25" x14ac:dyDescent="0.2">
      <c r="A15" s="130">
        <v>9</v>
      </c>
      <c r="B15" s="5" t="s">
        <v>192</v>
      </c>
      <c r="C15" s="2" t="s">
        <v>302</v>
      </c>
      <c r="D15" s="3">
        <v>20</v>
      </c>
      <c r="E15" s="13">
        <v>77141</v>
      </c>
      <c r="F15" s="14">
        <f t="shared" si="0"/>
        <v>1542820</v>
      </c>
    </row>
    <row r="16" spans="1:6" x14ac:dyDescent="0.2">
      <c r="A16" s="10">
        <v>10</v>
      </c>
      <c r="B16" s="8" t="s">
        <v>51</v>
      </c>
      <c r="C16" s="15"/>
      <c r="D16" s="15"/>
      <c r="E16" s="13"/>
      <c r="F16" s="14" t="s">
        <v>0</v>
      </c>
    </row>
    <row r="17" spans="1:6" x14ac:dyDescent="0.2">
      <c r="A17" s="130">
        <v>11</v>
      </c>
      <c r="B17" s="5" t="s">
        <v>147</v>
      </c>
      <c r="C17" s="2" t="s">
        <v>302</v>
      </c>
      <c r="D17" s="3">
        <v>190</v>
      </c>
      <c r="E17" s="13">
        <v>24368</v>
      </c>
      <c r="F17" s="14">
        <f t="shared" si="0"/>
        <v>4629920</v>
      </c>
    </row>
    <row r="18" spans="1:6" x14ac:dyDescent="0.2">
      <c r="A18" s="10">
        <v>12</v>
      </c>
      <c r="B18" s="5" t="s">
        <v>642</v>
      </c>
      <c r="C18" s="2" t="s">
        <v>27</v>
      </c>
      <c r="D18" s="3">
        <v>150</v>
      </c>
      <c r="E18" s="13">
        <v>28823</v>
      </c>
      <c r="F18" s="14">
        <f t="shared" si="0"/>
        <v>4323450</v>
      </c>
    </row>
    <row r="19" spans="1:6" ht="25.5" x14ac:dyDescent="0.2">
      <c r="A19" s="130">
        <v>13</v>
      </c>
      <c r="B19" s="5" t="s">
        <v>21</v>
      </c>
      <c r="C19" s="2" t="s">
        <v>302</v>
      </c>
      <c r="D19" s="3">
        <v>68</v>
      </c>
      <c r="E19" s="13">
        <v>30324</v>
      </c>
      <c r="F19" s="14">
        <f t="shared" si="0"/>
        <v>2062032</v>
      </c>
    </row>
    <row r="20" spans="1:6" x14ac:dyDescent="0.2">
      <c r="A20" s="10">
        <v>14</v>
      </c>
      <c r="B20" s="8" t="s">
        <v>148</v>
      </c>
      <c r="C20" s="15"/>
      <c r="D20" s="15"/>
      <c r="E20" s="13"/>
      <c r="F20" s="14" t="s">
        <v>0</v>
      </c>
    </row>
    <row r="21" spans="1:6" ht="25.5" x14ac:dyDescent="0.2">
      <c r="A21" s="130">
        <v>15</v>
      </c>
      <c r="B21" s="17" t="s">
        <v>193</v>
      </c>
      <c r="C21" s="2" t="s">
        <v>22</v>
      </c>
      <c r="D21" s="3">
        <v>84</v>
      </c>
      <c r="E21" s="13">
        <f>12*1835</f>
        <v>22020</v>
      </c>
      <c r="F21" s="14">
        <f t="shared" si="0"/>
        <v>1849680</v>
      </c>
    </row>
    <row r="22" spans="1:6" ht="42.75" customHeight="1" x14ac:dyDescent="0.2">
      <c r="A22" s="10">
        <v>16</v>
      </c>
      <c r="B22" s="18" t="s">
        <v>149</v>
      </c>
      <c r="C22" s="2" t="s">
        <v>22</v>
      </c>
      <c r="D22" s="3">
        <v>0.5</v>
      </c>
      <c r="E22" s="13">
        <v>590196</v>
      </c>
      <c r="F22" s="14">
        <f t="shared" si="0"/>
        <v>295098</v>
      </c>
    </row>
    <row r="23" spans="1:6" ht="38.25" x14ac:dyDescent="0.2">
      <c r="A23" s="130">
        <v>17</v>
      </c>
      <c r="B23" s="5" t="s">
        <v>198</v>
      </c>
      <c r="C23" s="2" t="s">
        <v>116</v>
      </c>
      <c r="D23" s="3">
        <v>1</v>
      </c>
      <c r="E23" s="13">
        <v>680000</v>
      </c>
      <c r="F23" s="14">
        <f t="shared" si="0"/>
        <v>680000</v>
      </c>
    </row>
    <row r="24" spans="1:6" ht="18" customHeight="1" x14ac:dyDescent="0.2">
      <c r="A24" s="10">
        <v>18</v>
      </c>
      <c r="B24" s="604" t="s">
        <v>151</v>
      </c>
      <c r="C24" s="2" t="s">
        <v>116</v>
      </c>
      <c r="D24" s="3">
        <v>2</v>
      </c>
      <c r="E24" s="13">
        <v>500414</v>
      </c>
      <c r="F24" s="14">
        <f t="shared" si="0"/>
        <v>1000828</v>
      </c>
    </row>
    <row r="25" spans="1:6" ht="25.5" x14ac:dyDescent="0.2">
      <c r="A25" s="130">
        <v>19</v>
      </c>
      <c r="B25" s="5" t="s">
        <v>23</v>
      </c>
      <c r="C25" s="2" t="s">
        <v>22</v>
      </c>
      <c r="D25" s="3">
        <v>48</v>
      </c>
      <c r="E25" s="13">
        <v>12780</v>
      </c>
      <c r="F25" s="14">
        <f t="shared" si="0"/>
        <v>613440</v>
      </c>
    </row>
    <row r="26" spans="1:6" ht="25.5" x14ac:dyDescent="0.2">
      <c r="A26" s="10">
        <v>20</v>
      </c>
      <c r="B26" s="5" t="s">
        <v>24</v>
      </c>
      <c r="C26" s="2" t="s">
        <v>45</v>
      </c>
      <c r="D26" s="3">
        <v>12</v>
      </c>
      <c r="E26" s="13">
        <v>370202</v>
      </c>
      <c r="F26" s="14">
        <f t="shared" si="0"/>
        <v>4442424</v>
      </c>
    </row>
    <row r="27" spans="1:6" x14ac:dyDescent="0.2">
      <c r="A27" s="130">
        <v>21</v>
      </c>
      <c r="B27" s="5" t="s">
        <v>194</v>
      </c>
      <c r="C27" s="2" t="s">
        <v>45</v>
      </c>
      <c r="D27" s="3">
        <v>12</v>
      </c>
      <c r="E27" s="13">
        <v>40262</v>
      </c>
      <c r="F27" s="14">
        <f t="shared" si="0"/>
        <v>483144</v>
      </c>
    </row>
    <row r="28" spans="1:6" x14ac:dyDescent="0.2">
      <c r="A28" s="10">
        <v>22</v>
      </c>
      <c r="B28" s="4" t="s">
        <v>152</v>
      </c>
      <c r="C28" s="2" t="s">
        <v>45</v>
      </c>
      <c r="D28" s="3">
        <v>2</v>
      </c>
      <c r="E28" s="13">
        <v>83623</v>
      </c>
      <c r="F28" s="14">
        <f t="shared" si="0"/>
        <v>167246</v>
      </c>
    </row>
    <row r="29" spans="1:6" x14ac:dyDescent="0.2">
      <c r="A29" s="130">
        <v>23</v>
      </c>
      <c r="B29" s="8" t="s">
        <v>120</v>
      </c>
      <c r="C29" s="15"/>
      <c r="D29" s="15"/>
      <c r="E29" s="13"/>
      <c r="F29" s="14" t="s">
        <v>0</v>
      </c>
    </row>
    <row r="30" spans="1:6" x14ac:dyDescent="0.2">
      <c r="A30" s="10">
        <v>24</v>
      </c>
      <c r="B30" s="5" t="s">
        <v>25</v>
      </c>
      <c r="C30" s="2" t="s">
        <v>302</v>
      </c>
      <c r="D30" s="3">
        <v>13</v>
      </c>
      <c r="E30" s="13">
        <v>111720</v>
      </c>
      <c r="F30" s="14">
        <f t="shared" si="0"/>
        <v>1452360</v>
      </c>
    </row>
    <row r="31" spans="1:6" x14ac:dyDescent="0.2">
      <c r="A31" s="130">
        <v>25</v>
      </c>
      <c r="B31" s="17" t="s">
        <v>121</v>
      </c>
      <c r="C31" s="2" t="s">
        <v>302</v>
      </c>
      <c r="D31" s="3">
        <v>144</v>
      </c>
      <c r="E31" s="13">
        <v>20492</v>
      </c>
      <c r="F31" s="14">
        <f t="shared" si="0"/>
        <v>2950848</v>
      </c>
    </row>
    <row r="32" spans="1:6" x14ac:dyDescent="0.2">
      <c r="A32" s="10">
        <v>26</v>
      </c>
      <c r="B32" s="5" t="s">
        <v>418</v>
      </c>
      <c r="C32" s="2" t="s">
        <v>302</v>
      </c>
      <c r="D32" s="3">
        <v>27</v>
      </c>
      <c r="E32" s="13">
        <v>90000</v>
      </c>
      <c r="F32" s="14">
        <f t="shared" si="0"/>
        <v>2430000</v>
      </c>
    </row>
    <row r="33" spans="1:6" x14ac:dyDescent="0.2">
      <c r="A33" s="10">
        <v>27</v>
      </c>
      <c r="B33" s="5" t="s">
        <v>643</v>
      </c>
      <c r="C33" s="2" t="s">
        <v>12</v>
      </c>
      <c r="D33" s="3">
        <v>50</v>
      </c>
      <c r="E33" s="13">
        <v>70000</v>
      </c>
      <c r="F33" s="14">
        <f t="shared" si="0"/>
        <v>3500000</v>
      </c>
    </row>
    <row r="34" spans="1:6" x14ac:dyDescent="0.2">
      <c r="A34" s="130">
        <v>27</v>
      </c>
      <c r="B34" s="8" t="s">
        <v>123</v>
      </c>
      <c r="C34" s="15"/>
      <c r="D34" s="15"/>
      <c r="E34" s="13"/>
      <c r="F34" s="14" t="s">
        <v>0</v>
      </c>
    </row>
    <row r="35" spans="1:6" ht="25.5" x14ac:dyDescent="0.2">
      <c r="A35" s="10">
        <v>28</v>
      </c>
      <c r="B35" s="17" t="s">
        <v>154</v>
      </c>
      <c r="C35" s="2" t="s">
        <v>190</v>
      </c>
      <c r="D35" s="3">
        <v>3</v>
      </c>
      <c r="E35" s="13">
        <v>560630</v>
      </c>
      <c r="F35" s="14">
        <f t="shared" si="0"/>
        <v>1681890</v>
      </c>
    </row>
    <row r="36" spans="1:6" ht="25.5" x14ac:dyDescent="0.2">
      <c r="A36" s="130">
        <v>29</v>
      </c>
      <c r="B36" s="17" t="s">
        <v>195</v>
      </c>
      <c r="C36" s="2" t="s">
        <v>302</v>
      </c>
      <c r="D36" s="3">
        <v>2</v>
      </c>
      <c r="E36" s="13">
        <v>761360</v>
      </c>
      <c r="F36" s="14">
        <f t="shared" si="0"/>
        <v>1522720</v>
      </c>
    </row>
    <row r="37" spans="1:6" x14ac:dyDescent="0.2">
      <c r="A37" s="10">
        <v>30</v>
      </c>
      <c r="B37" s="8" t="s">
        <v>74</v>
      </c>
      <c r="C37" s="15"/>
      <c r="D37" s="15"/>
      <c r="E37" s="13"/>
      <c r="F37" s="14" t="s">
        <v>0</v>
      </c>
    </row>
    <row r="38" spans="1:6" x14ac:dyDescent="0.2">
      <c r="A38" s="130">
        <v>31</v>
      </c>
      <c r="B38" s="5" t="s">
        <v>171</v>
      </c>
      <c r="C38" s="2" t="s">
        <v>136</v>
      </c>
      <c r="D38" s="3">
        <v>18</v>
      </c>
      <c r="E38" s="13">
        <v>5484</v>
      </c>
      <c r="F38" s="14">
        <f t="shared" si="0"/>
        <v>98712</v>
      </c>
    </row>
    <row r="39" spans="1:6" x14ac:dyDescent="0.2">
      <c r="A39" s="130"/>
      <c r="B39" s="8" t="s">
        <v>30</v>
      </c>
      <c r="C39" s="7"/>
      <c r="D39" s="19"/>
      <c r="E39" s="20"/>
      <c r="F39" s="454">
        <f>ROUND(SUM(F8:F38),0)</f>
        <v>45503174</v>
      </c>
    </row>
    <row r="40" spans="1:6" x14ac:dyDescent="0.2">
      <c r="A40" s="77" t="s">
        <v>77</v>
      </c>
      <c r="B40" s="109"/>
      <c r="C40" s="109"/>
      <c r="D40" s="109"/>
      <c r="E40" s="109"/>
      <c r="F40" s="82" t="s">
        <v>0</v>
      </c>
    </row>
    <row r="41" spans="1:6" x14ac:dyDescent="0.2">
      <c r="A41" s="77" t="s">
        <v>78</v>
      </c>
      <c r="B41" s="109"/>
      <c r="C41" s="109"/>
      <c r="D41" s="109"/>
      <c r="E41" s="109"/>
      <c r="F41" s="347">
        <f>ROUND(F39/1.3495,0)</f>
        <v>33718543</v>
      </c>
    </row>
    <row r="42" spans="1:6" x14ac:dyDescent="0.2">
      <c r="A42" s="77" t="s">
        <v>79</v>
      </c>
      <c r="B42" s="109"/>
      <c r="C42" s="109"/>
      <c r="D42" s="83">
        <v>0.24</v>
      </c>
      <c r="E42" s="109"/>
      <c r="F42" s="347">
        <f>ROUND(F41*D42,0)</f>
        <v>8092450</v>
      </c>
    </row>
    <row r="43" spans="1:6" x14ac:dyDescent="0.2">
      <c r="A43" s="77" t="s">
        <v>32</v>
      </c>
      <c r="B43" s="109"/>
      <c r="C43" s="109"/>
      <c r="D43" s="83">
        <v>0.05</v>
      </c>
      <c r="E43" s="109"/>
      <c r="F43" s="347">
        <f>ROUND(F41*D43,0)</f>
        <v>1685927</v>
      </c>
    </row>
    <row r="44" spans="1:6" x14ac:dyDescent="0.2">
      <c r="A44" s="77" t="s">
        <v>80</v>
      </c>
      <c r="B44" s="85"/>
      <c r="C44" s="85"/>
      <c r="D44" s="83">
        <v>0.05</v>
      </c>
      <c r="E44" s="85"/>
      <c r="F44" s="347">
        <f>ROUND(F41*D44,0)</f>
        <v>1685927</v>
      </c>
    </row>
    <row r="45" spans="1:6" x14ac:dyDescent="0.2">
      <c r="A45" s="77" t="s">
        <v>81</v>
      </c>
      <c r="B45" s="85"/>
      <c r="C45" s="85"/>
      <c r="D45" s="83"/>
      <c r="E45" s="85"/>
      <c r="F45" s="347">
        <f>ROUND(F41+F42+F43+F44,0)</f>
        <v>45182847</v>
      </c>
    </row>
    <row r="46" spans="1:6" x14ac:dyDescent="0.2">
      <c r="A46" s="77" t="s">
        <v>82</v>
      </c>
      <c r="B46" s="85"/>
      <c r="C46" s="85"/>
      <c r="D46" s="83">
        <v>0.19</v>
      </c>
      <c r="E46" s="85"/>
      <c r="F46" s="348">
        <f>ROUND(F44*D46,0)</f>
        <v>320326</v>
      </c>
    </row>
    <row r="47" spans="1:6" x14ac:dyDescent="0.2">
      <c r="A47" s="88" t="s">
        <v>83</v>
      </c>
      <c r="B47" s="88"/>
      <c r="C47" s="88"/>
      <c r="D47" s="88"/>
      <c r="E47" s="88"/>
      <c r="F47" s="111">
        <f>ROUND(SUM(F45+F46),0)</f>
        <v>45503173</v>
      </c>
    </row>
    <row r="49" spans="1:6" ht="15" customHeight="1" x14ac:dyDescent="0.2"/>
    <row r="50" spans="1:6" x14ac:dyDescent="0.2">
      <c r="A50" s="687" t="s">
        <v>319</v>
      </c>
      <c r="B50" s="687"/>
      <c r="C50" s="687"/>
      <c r="D50" s="687"/>
      <c r="E50" s="687"/>
      <c r="F50" s="687"/>
    </row>
    <row r="51" spans="1:6" x14ac:dyDescent="0.2">
      <c r="A51" s="685" t="s">
        <v>15</v>
      </c>
      <c r="B51" s="685" t="s">
        <v>16</v>
      </c>
      <c r="C51" s="685" t="s">
        <v>33</v>
      </c>
      <c r="D51" s="685" t="s">
        <v>34</v>
      </c>
      <c r="E51" s="685"/>
      <c r="F51" s="685"/>
    </row>
    <row r="52" spans="1:6" x14ac:dyDescent="0.2">
      <c r="A52" s="685"/>
      <c r="B52" s="685"/>
      <c r="C52" s="685"/>
      <c r="D52" s="7" t="s">
        <v>35</v>
      </c>
      <c r="E52" s="7" t="s">
        <v>36</v>
      </c>
      <c r="F52" s="7" t="s">
        <v>37</v>
      </c>
    </row>
    <row r="53" spans="1:6" x14ac:dyDescent="0.2">
      <c r="A53" s="130">
        <v>1</v>
      </c>
      <c r="B53" s="8" t="s">
        <v>38</v>
      </c>
      <c r="C53" s="685"/>
      <c r="D53" s="685"/>
      <c r="E53" s="685"/>
      <c r="F53" s="9"/>
    </row>
    <row r="54" spans="1:6" ht="25.5" x14ac:dyDescent="0.2">
      <c r="A54" s="10">
        <v>2</v>
      </c>
      <c r="B54" s="5" t="s">
        <v>146</v>
      </c>
      <c r="C54" s="2" t="s">
        <v>22</v>
      </c>
      <c r="D54" s="3">
        <v>78</v>
      </c>
      <c r="E54" s="13">
        <v>4828</v>
      </c>
      <c r="F54" s="14">
        <f t="shared" ref="F54:F82" si="1">ROUND(D54*E54,0)</f>
        <v>376584</v>
      </c>
    </row>
    <row r="55" spans="1:6" x14ac:dyDescent="0.2">
      <c r="A55" s="130">
        <v>3</v>
      </c>
      <c r="B55" s="5" t="s">
        <v>191</v>
      </c>
      <c r="C55" s="2" t="s">
        <v>27</v>
      </c>
      <c r="D55" s="3">
        <v>468</v>
      </c>
      <c r="E55" s="13">
        <v>8377</v>
      </c>
      <c r="F55" s="14">
        <f t="shared" si="1"/>
        <v>3920436</v>
      </c>
    </row>
    <row r="56" spans="1:6" ht="25.5" x14ac:dyDescent="0.2">
      <c r="A56" s="10">
        <v>4</v>
      </c>
      <c r="B56" s="5" t="s">
        <v>18</v>
      </c>
      <c r="C56" s="2" t="s">
        <v>22</v>
      </c>
      <c r="D56" s="3">
        <v>168</v>
      </c>
      <c r="E56" s="13">
        <v>12600</v>
      </c>
      <c r="F56" s="14">
        <f t="shared" si="1"/>
        <v>2116800</v>
      </c>
    </row>
    <row r="57" spans="1:6" x14ac:dyDescent="0.2">
      <c r="A57" s="130">
        <v>5</v>
      </c>
      <c r="B57" s="5" t="s">
        <v>19</v>
      </c>
      <c r="C57" s="2" t="s">
        <v>45</v>
      </c>
      <c r="D57" s="3">
        <v>2</v>
      </c>
      <c r="E57" s="13">
        <v>143842</v>
      </c>
      <c r="F57" s="14">
        <f t="shared" si="1"/>
        <v>287684</v>
      </c>
    </row>
    <row r="58" spans="1:6" x14ac:dyDescent="0.2">
      <c r="A58" s="10">
        <v>6</v>
      </c>
      <c r="B58" s="5" t="s">
        <v>20</v>
      </c>
      <c r="C58" s="2" t="s">
        <v>45</v>
      </c>
      <c r="D58" s="3">
        <v>1</v>
      </c>
      <c r="E58" s="13">
        <v>728158</v>
      </c>
      <c r="F58" s="14">
        <f t="shared" si="1"/>
        <v>728158</v>
      </c>
    </row>
    <row r="59" spans="1:6" x14ac:dyDescent="0.2">
      <c r="A59" s="130">
        <v>7</v>
      </c>
      <c r="B59" s="8" t="s">
        <v>48</v>
      </c>
      <c r="C59" s="15"/>
      <c r="D59" s="15"/>
      <c r="E59" s="13"/>
      <c r="F59" s="14" t="s">
        <v>0</v>
      </c>
    </row>
    <row r="60" spans="1:6" x14ac:dyDescent="0.2">
      <c r="A60" s="10">
        <v>8</v>
      </c>
      <c r="B60" s="1" t="s">
        <v>111</v>
      </c>
      <c r="C60" s="2" t="s">
        <v>22</v>
      </c>
      <c r="D60" s="3">
        <v>300</v>
      </c>
      <c r="E60" s="13">
        <v>7065</v>
      </c>
      <c r="F60" s="14">
        <f t="shared" si="1"/>
        <v>2119500</v>
      </c>
    </row>
    <row r="61" spans="1:6" ht="38.25" x14ac:dyDescent="0.2">
      <c r="A61" s="130">
        <v>9</v>
      </c>
      <c r="B61" s="5" t="s">
        <v>192</v>
      </c>
      <c r="C61" s="2" t="s">
        <v>302</v>
      </c>
      <c r="D61" s="3">
        <v>22</v>
      </c>
      <c r="E61" s="13">
        <v>77141</v>
      </c>
      <c r="F61" s="14">
        <f t="shared" si="1"/>
        <v>1697102</v>
      </c>
    </row>
    <row r="62" spans="1:6" x14ac:dyDescent="0.2">
      <c r="A62" s="10">
        <v>10</v>
      </c>
      <c r="B62" s="8" t="s">
        <v>51</v>
      </c>
      <c r="C62" s="15"/>
      <c r="D62" s="15"/>
      <c r="E62" s="13"/>
      <c r="F62" s="14">
        <f t="shared" si="1"/>
        <v>0</v>
      </c>
    </row>
    <row r="63" spans="1:6" x14ac:dyDescent="0.2">
      <c r="A63" s="130">
        <v>11</v>
      </c>
      <c r="B63" s="4" t="s">
        <v>147</v>
      </c>
      <c r="C63" s="2" t="s">
        <v>302</v>
      </c>
      <c r="D63" s="3">
        <v>212</v>
      </c>
      <c r="E63" s="13">
        <v>24368</v>
      </c>
      <c r="F63" s="14">
        <f t="shared" si="1"/>
        <v>5166016</v>
      </c>
    </row>
    <row r="64" spans="1:6" x14ac:dyDescent="0.2">
      <c r="A64" s="10">
        <v>12</v>
      </c>
      <c r="B64" s="4" t="s">
        <v>197</v>
      </c>
      <c r="C64" s="2" t="s">
        <v>22</v>
      </c>
      <c r="D64" s="3">
        <v>20</v>
      </c>
      <c r="E64" s="13">
        <v>28823</v>
      </c>
      <c r="F64" s="14">
        <f t="shared" si="1"/>
        <v>576460</v>
      </c>
    </row>
    <row r="65" spans="1:6" ht="25.5" x14ac:dyDescent="0.2">
      <c r="A65" s="130">
        <v>13</v>
      </c>
      <c r="B65" s="5" t="s">
        <v>21</v>
      </c>
      <c r="C65" s="2" t="s">
        <v>302</v>
      </c>
      <c r="D65" s="3">
        <v>74</v>
      </c>
      <c r="E65" s="13">
        <v>30324</v>
      </c>
      <c r="F65" s="14">
        <f t="shared" si="1"/>
        <v>2243976</v>
      </c>
    </row>
    <row r="66" spans="1:6" x14ac:dyDescent="0.2">
      <c r="A66" s="10">
        <v>14</v>
      </c>
      <c r="B66" s="8" t="s">
        <v>148</v>
      </c>
      <c r="C66" s="15"/>
      <c r="D66" s="15"/>
      <c r="E66" s="13"/>
      <c r="F66" s="14" t="s">
        <v>0</v>
      </c>
    </row>
    <row r="67" spans="1:6" ht="25.5" x14ac:dyDescent="0.2">
      <c r="A67" s="130">
        <v>15</v>
      </c>
      <c r="B67" s="5" t="s">
        <v>644</v>
      </c>
      <c r="C67" s="2" t="s">
        <v>22</v>
      </c>
      <c r="D67" s="3">
        <v>78</v>
      </c>
      <c r="E67" s="13">
        <f>12*1835</f>
        <v>22020</v>
      </c>
      <c r="F67" s="14">
        <f t="shared" si="1"/>
        <v>1717560</v>
      </c>
    </row>
    <row r="68" spans="1:6" ht="38.25" x14ac:dyDescent="0.2">
      <c r="A68" s="10">
        <v>16</v>
      </c>
      <c r="B68" s="18" t="s">
        <v>149</v>
      </c>
      <c r="C68" s="2" t="s">
        <v>22</v>
      </c>
      <c r="D68" s="3">
        <v>0.5</v>
      </c>
      <c r="E68" s="13">
        <v>590196</v>
      </c>
      <c r="F68" s="14">
        <f t="shared" si="1"/>
        <v>295098</v>
      </c>
    </row>
    <row r="69" spans="1:6" ht="38.25" x14ac:dyDescent="0.2">
      <c r="A69" s="130">
        <v>17</v>
      </c>
      <c r="B69" s="5" t="s">
        <v>198</v>
      </c>
      <c r="C69" s="2" t="s">
        <v>116</v>
      </c>
      <c r="D69" s="3">
        <v>1</v>
      </c>
      <c r="E69" s="13">
        <v>680000</v>
      </c>
      <c r="F69" s="14">
        <f t="shared" si="1"/>
        <v>680000</v>
      </c>
    </row>
    <row r="70" spans="1:6" x14ac:dyDescent="0.2">
      <c r="A70" s="10">
        <v>18</v>
      </c>
      <c r="B70" s="4" t="s">
        <v>151</v>
      </c>
      <c r="C70" s="2" t="s">
        <v>116</v>
      </c>
      <c r="D70" s="3">
        <v>2</v>
      </c>
      <c r="E70" s="13">
        <v>500414</v>
      </c>
      <c r="F70" s="14">
        <f t="shared" si="1"/>
        <v>1000828</v>
      </c>
    </row>
    <row r="71" spans="1:6" ht="25.5" x14ac:dyDescent="0.2">
      <c r="A71" s="130">
        <v>19</v>
      </c>
      <c r="B71" s="5" t="s">
        <v>23</v>
      </c>
      <c r="C71" s="2" t="s">
        <v>22</v>
      </c>
      <c r="D71" s="3">
        <v>72</v>
      </c>
      <c r="E71" s="13">
        <v>12780</v>
      </c>
      <c r="F71" s="14">
        <f t="shared" si="1"/>
        <v>920160</v>
      </c>
    </row>
    <row r="72" spans="1:6" ht="25.5" x14ac:dyDescent="0.2">
      <c r="A72" s="10">
        <v>20</v>
      </c>
      <c r="B72" s="5" t="s">
        <v>24</v>
      </c>
      <c r="C72" s="2" t="s">
        <v>45</v>
      </c>
      <c r="D72" s="3">
        <v>18</v>
      </c>
      <c r="E72" s="13">
        <v>370202</v>
      </c>
      <c r="F72" s="14">
        <f t="shared" si="1"/>
        <v>6663636</v>
      </c>
    </row>
    <row r="73" spans="1:6" x14ac:dyDescent="0.2">
      <c r="A73" s="130">
        <v>21</v>
      </c>
      <c r="B73" s="5" t="s">
        <v>194</v>
      </c>
      <c r="C73" s="2" t="s">
        <v>45</v>
      </c>
      <c r="D73" s="3">
        <v>18</v>
      </c>
      <c r="E73" s="13">
        <v>40262</v>
      </c>
      <c r="F73" s="14">
        <f t="shared" si="1"/>
        <v>724716</v>
      </c>
    </row>
    <row r="74" spans="1:6" x14ac:dyDescent="0.2">
      <c r="A74" s="10">
        <v>22</v>
      </c>
      <c r="B74" s="4" t="s">
        <v>152</v>
      </c>
      <c r="C74" s="2" t="s">
        <v>45</v>
      </c>
      <c r="D74" s="3">
        <v>2</v>
      </c>
      <c r="E74" s="13">
        <v>83623</v>
      </c>
      <c r="F74" s="14">
        <f t="shared" si="1"/>
        <v>167246</v>
      </c>
    </row>
    <row r="75" spans="1:6" x14ac:dyDescent="0.2">
      <c r="A75" s="130">
        <v>23</v>
      </c>
      <c r="B75" s="8" t="s">
        <v>120</v>
      </c>
      <c r="C75" s="15"/>
      <c r="D75" s="15"/>
      <c r="E75" s="13"/>
      <c r="F75" s="14" t="s">
        <v>0</v>
      </c>
    </row>
    <row r="76" spans="1:6" x14ac:dyDescent="0.2">
      <c r="A76" s="10">
        <v>24</v>
      </c>
      <c r="B76" s="4" t="s">
        <v>25</v>
      </c>
      <c r="C76" s="2" t="s">
        <v>302</v>
      </c>
      <c r="D76" s="3">
        <v>14</v>
      </c>
      <c r="E76" s="13">
        <v>111720</v>
      </c>
      <c r="F76" s="14">
        <f t="shared" si="1"/>
        <v>1564080</v>
      </c>
    </row>
    <row r="77" spans="1:6" x14ac:dyDescent="0.2">
      <c r="A77" s="130">
        <v>25</v>
      </c>
      <c r="B77" s="5" t="s">
        <v>121</v>
      </c>
      <c r="C77" s="2" t="s">
        <v>302</v>
      </c>
      <c r="D77" s="3">
        <v>160</v>
      </c>
      <c r="E77" s="13">
        <v>20492</v>
      </c>
      <c r="F77" s="14">
        <f t="shared" si="1"/>
        <v>3278720</v>
      </c>
    </row>
    <row r="78" spans="1:6" x14ac:dyDescent="0.2">
      <c r="A78" s="10">
        <v>26</v>
      </c>
      <c r="B78" s="4" t="s">
        <v>416</v>
      </c>
      <c r="C78" s="2" t="s">
        <v>302</v>
      </c>
      <c r="D78" s="3">
        <v>30</v>
      </c>
      <c r="E78" s="13">
        <v>90000</v>
      </c>
      <c r="F78" s="14">
        <f t="shared" si="1"/>
        <v>2700000</v>
      </c>
    </row>
    <row r="79" spans="1:6" x14ac:dyDescent="0.2">
      <c r="A79" s="10">
        <v>27</v>
      </c>
      <c r="B79" s="5" t="s">
        <v>417</v>
      </c>
      <c r="C79" s="2" t="s">
        <v>12</v>
      </c>
      <c r="D79" s="3">
        <v>70</v>
      </c>
      <c r="E79" s="13">
        <v>70000</v>
      </c>
      <c r="F79" s="14">
        <f t="shared" si="1"/>
        <v>4900000</v>
      </c>
    </row>
    <row r="80" spans="1:6" x14ac:dyDescent="0.2">
      <c r="A80" s="130">
        <f>A79+1</f>
        <v>28</v>
      </c>
      <c r="B80" s="8" t="s">
        <v>123</v>
      </c>
      <c r="C80" s="15"/>
      <c r="D80" s="15"/>
      <c r="E80" s="13"/>
      <c r="F80" s="14" t="s">
        <v>0</v>
      </c>
    </row>
    <row r="81" spans="1:6" ht="25.5" x14ac:dyDescent="0.2">
      <c r="A81" s="130">
        <f t="shared" ref="A81:A84" si="2">A80+1</f>
        <v>29</v>
      </c>
      <c r="B81" s="5" t="s">
        <v>154</v>
      </c>
      <c r="C81" s="2" t="s">
        <v>302</v>
      </c>
      <c r="D81" s="3">
        <v>3</v>
      </c>
      <c r="E81" s="13">
        <v>560630</v>
      </c>
      <c r="F81" s="14">
        <f t="shared" si="1"/>
        <v>1681890</v>
      </c>
    </row>
    <row r="82" spans="1:6" ht="25.5" x14ac:dyDescent="0.2">
      <c r="A82" s="130">
        <f t="shared" si="2"/>
        <v>30</v>
      </c>
      <c r="B82" s="5" t="s">
        <v>195</v>
      </c>
      <c r="C82" s="2" t="s">
        <v>302</v>
      </c>
      <c r="D82" s="3">
        <v>2</v>
      </c>
      <c r="E82" s="13">
        <v>761360</v>
      </c>
      <c r="F82" s="14">
        <f t="shared" si="1"/>
        <v>1522720</v>
      </c>
    </row>
    <row r="83" spans="1:6" x14ac:dyDescent="0.2">
      <c r="A83" s="130">
        <f t="shared" si="2"/>
        <v>31</v>
      </c>
      <c r="B83" s="8" t="s">
        <v>74</v>
      </c>
      <c r="C83" s="15"/>
      <c r="D83" s="15"/>
      <c r="E83" s="13"/>
      <c r="F83" s="14" t="s">
        <v>0</v>
      </c>
    </row>
    <row r="84" spans="1:6" x14ac:dyDescent="0.2">
      <c r="A84" s="130">
        <f t="shared" si="2"/>
        <v>32</v>
      </c>
      <c r="B84" s="5" t="s">
        <v>171</v>
      </c>
      <c r="C84" s="2" t="s">
        <v>136</v>
      </c>
      <c r="D84" s="3">
        <v>18</v>
      </c>
      <c r="E84" s="13">
        <v>5484</v>
      </c>
      <c r="F84" s="14">
        <f>ROUND(D84*E84,0)</f>
        <v>98712</v>
      </c>
    </row>
    <row r="85" spans="1:6" x14ac:dyDescent="0.2">
      <c r="A85" s="130"/>
      <c r="B85" s="8" t="s">
        <v>30</v>
      </c>
      <c r="C85" s="7"/>
      <c r="D85" s="19"/>
      <c r="E85" s="20"/>
      <c r="F85" s="454">
        <f>ROUND(SUM(F54:F84),0)</f>
        <v>47148082</v>
      </c>
    </row>
    <row r="86" spans="1:6" x14ac:dyDescent="0.2">
      <c r="A86" s="12"/>
      <c r="B86" s="77" t="s">
        <v>77</v>
      </c>
      <c r="C86" s="109"/>
      <c r="D86" s="109"/>
      <c r="E86" s="109"/>
      <c r="F86" s="82" t="s">
        <v>0</v>
      </c>
    </row>
    <row r="87" spans="1:6" x14ac:dyDescent="0.2">
      <c r="A87" s="12"/>
      <c r="B87" s="77" t="s">
        <v>78</v>
      </c>
      <c r="C87" s="109"/>
      <c r="D87" s="109"/>
      <c r="E87" s="109"/>
      <c r="F87" s="347">
        <f>ROUND(F85/1.3495,0)</f>
        <v>34937445</v>
      </c>
    </row>
    <row r="88" spans="1:6" x14ac:dyDescent="0.2">
      <c r="A88" s="12"/>
      <c r="B88" s="77" t="s">
        <v>79</v>
      </c>
      <c r="C88" s="109"/>
      <c r="D88" s="83">
        <v>0.24</v>
      </c>
      <c r="E88" s="109"/>
      <c r="F88" s="347">
        <f>ROUND(F87*D88,0)</f>
        <v>8384987</v>
      </c>
    </row>
    <row r="89" spans="1:6" x14ac:dyDescent="0.2">
      <c r="A89" s="12"/>
      <c r="B89" s="77" t="s">
        <v>32</v>
      </c>
      <c r="C89" s="109"/>
      <c r="D89" s="83">
        <v>0.05</v>
      </c>
      <c r="E89" s="109"/>
      <c r="F89" s="347">
        <f>ROUND(F87*D89,0)</f>
        <v>1746872</v>
      </c>
    </row>
    <row r="90" spans="1:6" x14ac:dyDescent="0.2">
      <c r="A90" s="12"/>
      <c r="B90" s="77" t="s">
        <v>80</v>
      </c>
      <c r="C90" s="85"/>
      <c r="D90" s="83">
        <v>0.05</v>
      </c>
      <c r="E90" s="85"/>
      <c r="F90" s="347">
        <f>ROUND(F87*D90,0)</f>
        <v>1746872</v>
      </c>
    </row>
    <row r="91" spans="1:6" x14ac:dyDescent="0.2">
      <c r="A91" s="12"/>
      <c r="B91" s="77" t="s">
        <v>81</v>
      </c>
      <c r="C91" s="85"/>
      <c r="D91" s="83"/>
      <c r="E91" s="85"/>
      <c r="F91" s="347">
        <f>ROUND(F87+F88+F89+F90,0)</f>
        <v>46816176</v>
      </c>
    </row>
    <row r="92" spans="1:6" x14ac:dyDescent="0.2">
      <c r="A92" s="12"/>
      <c r="B92" s="77" t="s">
        <v>82</v>
      </c>
      <c r="C92" s="85"/>
      <c r="D92" s="83">
        <v>0.19</v>
      </c>
      <c r="E92" s="85"/>
      <c r="F92" s="348">
        <f>ROUND(F90*D92,0)</f>
        <v>331906</v>
      </c>
    </row>
    <row r="93" spans="1:6" x14ac:dyDescent="0.2">
      <c r="A93" s="12"/>
      <c r="B93" s="88" t="s">
        <v>83</v>
      </c>
      <c r="C93" s="88"/>
      <c r="D93" s="88"/>
      <c r="E93" s="88"/>
      <c r="F93" s="111">
        <f>ROUND(SUM(F91+F92),0)</f>
        <v>47148082</v>
      </c>
    </row>
    <row r="96" spans="1:6" x14ac:dyDescent="0.2">
      <c r="A96" s="687" t="s">
        <v>320</v>
      </c>
      <c r="B96" s="687"/>
      <c r="C96" s="687"/>
      <c r="D96" s="687"/>
      <c r="E96" s="687"/>
      <c r="F96" s="687"/>
    </row>
    <row r="97" spans="1:6" x14ac:dyDescent="0.2">
      <c r="A97" s="685" t="s">
        <v>15</v>
      </c>
      <c r="B97" s="685" t="s">
        <v>16</v>
      </c>
      <c r="C97" s="685" t="s">
        <v>33</v>
      </c>
      <c r="D97" s="685" t="s">
        <v>34</v>
      </c>
      <c r="E97" s="685"/>
      <c r="F97" s="685"/>
    </row>
    <row r="98" spans="1:6" x14ac:dyDescent="0.2">
      <c r="A98" s="685"/>
      <c r="B98" s="685"/>
      <c r="C98" s="685"/>
      <c r="D98" s="7" t="s">
        <v>35</v>
      </c>
      <c r="E98" s="7" t="s">
        <v>36</v>
      </c>
      <c r="F98" s="7" t="s">
        <v>37</v>
      </c>
    </row>
    <row r="99" spans="1:6" x14ac:dyDescent="0.2">
      <c r="A99" s="130">
        <v>1</v>
      </c>
      <c r="B99" s="8" t="s">
        <v>38</v>
      </c>
      <c r="C99" s="685"/>
      <c r="D99" s="685"/>
      <c r="E99" s="685"/>
      <c r="F99" s="9"/>
    </row>
    <row r="100" spans="1:6" ht="25.5" x14ac:dyDescent="0.2">
      <c r="A100" s="10">
        <v>2</v>
      </c>
      <c r="B100" s="5" t="s">
        <v>146</v>
      </c>
      <c r="C100" s="2" t="s">
        <v>22</v>
      </c>
      <c r="D100" s="3">
        <v>114</v>
      </c>
      <c r="E100" s="13">
        <v>4828</v>
      </c>
      <c r="F100" s="14">
        <f>ROUND(D100*E100,0)</f>
        <v>550392</v>
      </c>
    </row>
    <row r="101" spans="1:6" x14ac:dyDescent="0.2">
      <c r="A101" s="130">
        <v>3</v>
      </c>
      <c r="B101" s="17" t="s">
        <v>191</v>
      </c>
      <c r="C101" s="2" t="s">
        <v>27</v>
      </c>
      <c r="D101" s="3">
        <v>684</v>
      </c>
      <c r="E101" s="13">
        <v>8377</v>
      </c>
      <c r="F101" s="14">
        <f t="shared" ref="F101:F131" si="3">ROUND(D101*E101,0)</f>
        <v>5729868</v>
      </c>
    </row>
    <row r="102" spans="1:6" ht="25.5" x14ac:dyDescent="0.2">
      <c r="A102" s="10">
        <v>4</v>
      </c>
      <c r="B102" s="5" t="s">
        <v>18</v>
      </c>
      <c r="C102" s="2" t="s">
        <v>22</v>
      </c>
      <c r="D102" s="3">
        <v>240</v>
      </c>
      <c r="E102" s="13">
        <v>12600</v>
      </c>
      <c r="F102" s="14">
        <f t="shared" si="3"/>
        <v>3024000</v>
      </c>
    </row>
    <row r="103" spans="1:6" x14ac:dyDescent="0.2">
      <c r="A103" s="130">
        <v>5</v>
      </c>
      <c r="B103" s="4" t="s">
        <v>19</v>
      </c>
      <c r="C103" s="2" t="s">
        <v>45</v>
      </c>
      <c r="D103" s="3">
        <v>4</v>
      </c>
      <c r="E103" s="13">
        <v>143842</v>
      </c>
      <c r="F103" s="14">
        <f t="shared" si="3"/>
        <v>575368</v>
      </c>
    </row>
    <row r="104" spans="1:6" x14ac:dyDescent="0.2">
      <c r="A104" s="10">
        <v>6</v>
      </c>
      <c r="B104" s="4" t="s">
        <v>20</v>
      </c>
      <c r="C104" s="2" t="s">
        <v>45</v>
      </c>
      <c r="D104" s="3">
        <v>1</v>
      </c>
      <c r="E104" s="13">
        <v>728158</v>
      </c>
      <c r="F104" s="14">
        <f t="shared" si="3"/>
        <v>728158</v>
      </c>
    </row>
    <row r="105" spans="1:6" x14ac:dyDescent="0.2">
      <c r="A105" s="130">
        <v>7</v>
      </c>
      <c r="B105" s="8" t="s">
        <v>48</v>
      </c>
      <c r="C105" s="15"/>
      <c r="D105" s="15"/>
      <c r="E105" s="13"/>
      <c r="F105" s="14">
        <f t="shared" si="3"/>
        <v>0</v>
      </c>
    </row>
    <row r="106" spans="1:6" x14ac:dyDescent="0.2">
      <c r="A106" s="10">
        <v>8</v>
      </c>
      <c r="B106" s="1" t="s">
        <v>111</v>
      </c>
      <c r="C106" s="2" t="s">
        <v>22</v>
      </c>
      <c r="D106" s="3">
        <v>404</v>
      </c>
      <c r="E106" s="13">
        <v>7065</v>
      </c>
      <c r="F106" s="14">
        <f t="shared" si="3"/>
        <v>2854260</v>
      </c>
    </row>
    <row r="107" spans="1:6" ht="38.25" x14ac:dyDescent="0.2">
      <c r="A107" s="130">
        <v>9</v>
      </c>
      <c r="B107" s="5" t="s">
        <v>192</v>
      </c>
      <c r="C107" s="2" t="s">
        <v>302</v>
      </c>
      <c r="D107" s="3">
        <v>32</v>
      </c>
      <c r="E107" s="13">
        <v>77141</v>
      </c>
      <c r="F107" s="14">
        <f t="shared" si="3"/>
        <v>2468512</v>
      </c>
    </row>
    <row r="108" spans="1:6" x14ac:dyDescent="0.2">
      <c r="A108" s="10">
        <v>10</v>
      </c>
      <c r="B108" s="8" t="s">
        <v>51</v>
      </c>
      <c r="C108" s="15"/>
      <c r="D108" s="15"/>
      <c r="E108" s="13"/>
      <c r="F108" s="14" t="s">
        <v>0</v>
      </c>
    </row>
    <row r="109" spans="1:6" x14ac:dyDescent="0.2">
      <c r="A109" s="130">
        <v>11</v>
      </c>
      <c r="B109" s="4" t="s">
        <v>147</v>
      </c>
      <c r="C109" s="2" t="s">
        <v>302</v>
      </c>
      <c r="D109" s="3">
        <v>314</v>
      </c>
      <c r="E109" s="13">
        <v>24368</v>
      </c>
      <c r="F109" s="14">
        <f t="shared" si="3"/>
        <v>7651552</v>
      </c>
    </row>
    <row r="110" spans="1:6" x14ac:dyDescent="0.2">
      <c r="A110" s="10">
        <v>12</v>
      </c>
      <c r="B110" s="4" t="s">
        <v>196</v>
      </c>
      <c r="C110" s="2" t="s">
        <v>302</v>
      </c>
      <c r="D110" s="3">
        <v>228</v>
      </c>
      <c r="E110" s="13">
        <v>28410</v>
      </c>
      <c r="F110" s="14">
        <f t="shared" si="3"/>
        <v>6477480</v>
      </c>
    </row>
    <row r="111" spans="1:6" x14ac:dyDescent="0.2">
      <c r="A111" s="130">
        <v>13</v>
      </c>
      <c r="B111" s="4" t="s">
        <v>197</v>
      </c>
      <c r="C111" s="2" t="s">
        <v>22</v>
      </c>
      <c r="D111" s="3">
        <v>114</v>
      </c>
      <c r="E111" s="13">
        <v>28823</v>
      </c>
      <c r="F111" s="14">
        <f t="shared" si="3"/>
        <v>3285822</v>
      </c>
    </row>
    <row r="112" spans="1:6" ht="25.5" x14ac:dyDescent="0.2">
      <c r="A112" s="10">
        <v>14</v>
      </c>
      <c r="B112" s="5" t="s">
        <v>21</v>
      </c>
      <c r="C112" s="2" t="s">
        <v>302</v>
      </c>
      <c r="D112" s="3">
        <v>108</v>
      </c>
      <c r="E112" s="13">
        <v>30324</v>
      </c>
      <c r="F112" s="14">
        <f t="shared" si="3"/>
        <v>3274992</v>
      </c>
    </row>
    <row r="113" spans="1:6" x14ac:dyDescent="0.2">
      <c r="A113" s="130">
        <v>15</v>
      </c>
      <c r="B113" s="8" t="s">
        <v>148</v>
      </c>
      <c r="C113" s="15"/>
      <c r="D113" s="15"/>
      <c r="E113" s="13"/>
      <c r="F113" s="14" t="s">
        <v>0</v>
      </c>
    </row>
    <row r="114" spans="1:6" ht="25.5" x14ac:dyDescent="0.2">
      <c r="A114" s="10">
        <v>16</v>
      </c>
      <c r="B114" s="17" t="s">
        <v>193</v>
      </c>
      <c r="C114" s="2" t="s">
        <v>22</v>
      </c>
      <c r="D114" s="3">
        <v>114</v>
      </c>
      <c r="E114" s="13">
        <f>12*1835</f>
        <v>22020</v>
      </c>
      <c r="F114" s="14">
        <f t="shared" si="3"/>
        <v>2510280</v>
      </c>
    </row>
    <row r="115" spans="1:6" ht="38.25" x14ac:dyDescent="0.2">
      <c r="A115" s="130">
        <v>17</v>
      </c>
      <c r="B115" s="18" t="s">
        <v>149</v>
      </c>
      <c r="C115" s="2" t="s">
        <v>22</v>
      </c>
      <c r="D115" s="3">
        <v>1</v>
      </c>
      <c r="E115" s="13">
        <v>590196</v>
      </c>
      <c r="F115" s="14">
        <f t="shared" si="3"/>
        <v>590196</v>
      </c>
    </row>
    <row r="116" spans="1:6" ht="38.25" x14ac:dyDescent="0.2">
      <c r="A116" s="10">
        <v>18</v>
      </c>
      <c r="B116" s="5" t="s">
        <v>198</v>
      </c>
      <c r="C116" s="2" t="s">
        <v>116</v>
      </c>
      <c r="D116" s="3">
        <v>1</v>
      </c>
      <c r="E116" s="13">
        <v>680000</v>
      </c>
      <c r="F116" s="14">
        <f t="shared" si="3"/>
        <v>680000</v>
      </c>
    </row>
    <row r="117" spans="1:6" x14ac:dyDescent="0.2">
      <c r="A117" s="130">
        <v>19</v>
      </c>
      <c r="B117" s="4" t="s">
        <v>151</v>
      </c>
      <c r="C117" s="2" t="s">
        <v>116</v>
      </c>
      <c r="D117" s="3">
        <v>4</v>
      </c>
      <c r="E117" s="13">
        <v>500414</v>
      </c>
      <c r="F117" s="14">
        <f t="shared" si="3"/>
        <v>2001656</v>
      </c>
    </row>
    <row r="118" spans="1:6" ht="25.5" x14ac:dyDescent="0.2">
      <c r="A118" s="10">
        <v>20</v>
      </c>
      <c r="B118" s="5" t="s">
        <v>23</v>
      </c>
      <c r="C118" s="2" t="s">
        <v>22</v>
      </c>
      <c r="D118" s="3">
        <v>90</v>
      </c>
      <c r="E118" s="13">
        <v>12780</v>
      </c>
      <c r="F118" s="14">
        <f t="shared" si="3"/>
        <v>1150200</v>
      </c>
    </row>
    <row r="119" spans="1:6" ht="25.5" x14ac:dyDescent="0.2">
      <c r="A119" s="130">
        <v>21</v>
      </c>
      <c r="B119" s="5" t="s">
        <v>24</v>
      </c>
      <c r="C119" s="2" t="s">
        <v>45</v>
      </c>
      <c r="D119" s="3">
        <v>22</v>
      </c>
      <c r="E119" s="13">
        <v>370202</v>
      </c>
      <c r="F119" s="14">
        <f t="shared" si="3"/>
        <v>8144444</v>
      </c>
    </row>
    <row r="120" spans="1:6" x14ac:dyDescent="0.2">
      <c r="A120" s="10">
        <v>22</v>
      </c>
      <c r="B120" s="4" t="s">
        <v>194</v>
      </c>
      <c r="C120" s="2" t="s">
        <v>45</v>
      </c>
      <c r="D120" s="3">
        <v>22</v>
      </c>
      <c r="E120" s="13">
        <v>40262</v>
      </c>
      <c r="F120" s="14">
        <f t="shared" si="3"/>
        <v>885764</v>
      </c>
    </row>
    <row r="121" spans="1:6" x14ac:dyDescent="0.2">
      <c r="A121" s="130">
        <v>23</v>
      </c>
      <c r="B121" s="4" t="s">
        <v>152</v>
      </c>
      <c r="C121" s="2" t="s">
        <v>45</v>
      </c>
      <c r="D121" s="3">
        <v>4</v>
      </c>
      <c r="E121" s="13">
        <v>83623</v>
      </c>
      <c r="F121" s="14">
        <f t="shared" si="3"/>
        <v>334492</v>
      </c>
    </row>
    <row r="122" spans="1:6" x14ac:dyDescent="0.2">
      <c r="A122" s="10">
        <v>24</v>
      </c>
      <c r="B122" s="8" t="s">
        <v>120</v>
      </c>
      <c r="C122" s="15"/>
      <c r="D122" s="15"/>
      <c r="E122" s="13"/>
      <c r="F122" s="14" t="s">
        <v>0</v>
      </c>
    </row>
    <row r="123" spans="1:6" x14ac:dyDescent="0.2">
      <c r="A123" s="130">
        <v>25</v>
      </c>
      <c r="B123" s="4" t="s">
        <v>25</v>
      </c>
      <c r="C123" s="2" t="s">
        <v>302</v>
      </c>
      <c r="D123" s="3">
        <v>22</v>
      </c>
      <c r="E123" s="13">
        <v>111720</v>
      </c>
      <c r="F123" s="14">
        <f t="shared" si="3"/>
        <v>2457840</v>
      </c>
    </row>
    <row r="124" spans="1:6" x14ac:dyDescent="0.2">
      <c r="A124" s="10">
        <v>26</v>
      </c>
      <c r="B124" s="5" t="s">
        <v>121</v>
      </c>
      <c r="C124" s="2" t="s">
        <v>302</v>
      </c>
      <c r="D124" s="3">
        <v>466</v>
      </c>
      <c r="E124" s="13">
        <v>20492</v>
      </c>
      <c r="F124" s="14">
        <f t="shared" si="3"/>
        <v>9549272</v>
      </c>
    </row>
    <row r="125" spans="1:6" x14ac:dyDescent="0.2">
      <c r="A125" s="130">
        <v>27</v>
      </c>
      <c r="B125" s="4" t="s">
        <v>153</v>
      </c>
      <c r="C125" s="2" t="s">
        <v>302</v>
      </c>
      <c r="D125" s="3">
        <v>44</v>
      </c>
      <c r="E125" s="13">
        <v>134118</v>
      </c>
      <c r="F125" s="14">
        <f t="shared" si="3"/>
        <v>5901192</v>
      </c>
    </row>
    <row r="126" spans="1:6" x14ac:dyDescent="0.2">
      <c r="A126" s="10">
        <v>28</v>
      </c>
      <c r="B126" s="8" t="s">
        <v>123</v>
      </c>
      <c r="C126" s="15"/>
      <c r="D126" s="15"/>
      <c r="E126" s="13"/>
      <c r="F126" s="14" t="s">
        <v>0</v>
      </c>
    </row>
    <row r="127" spans="1:6" ht="25.5" x14ac:dyDescent="0.2">
      <c r="A127" s="130">
        <v>29</v>
      </c>
      <c r="B127" s="5" t="s">
        <v>154</v>
      </c>
      <c r="C127" s="2" t="s">
        <v>302</v>
      </c>
      <c r="D127" s="3">
        <v>1</v>
      </c>
      <c r="E127" s="13">
        <v>560630</v>
      </c>
      <c r="F127" s="14">
        <f t="shared" si="3"/>
        <v>560630</v>
      </c>
    </row>
    <row r="128" spans="1:6" ht="25.5" x14ac:dyDescent="0.2">
      <c r="A128" s="10">
        <v>30</v>
      </c>
      <c r="B128" s="5" t="s">
        <v>195</v>
      </c>
      <c r="C128" s="2" t="s">
        <v>302</v>
      </c>
      <c r="D128" s="118">
        <v>32</v>
      </c>
      <c r="E128" s="13">
        <v>761360</v>
      </c>
      <c r="F128" s="14">
        <f t="shared" si="3"/>
        <v>24363520</v>
      </c>
    </row>
    <row r="129" spans="1:6" x14ac:dyDescent="0.2">
      <c r="A129" s="130">
        <v>31</v>
      </c>
      <c r="B129" s="8" t="s">
        <v>74</v>
      </c>
      <c r="C129" s="15"/>
      <c r="D129" s="15"/>
      <c r="E129" s="13"/>
      <c r="F129" s="14">
        <f t="shared" si="3"/>
        <v>0</v>
      </c>
    </row>
    <row r="130" spans="1:6" x14ac:dyDescent="0.2">
      <c r="A130" s="10">
        <v>32</v>
      </c>
      <c r="B130" s="4" t="s">
        <v>171</v>
      </c>
      <c r="C130" s="2" t="s">
        <v>136</v>
      </c>
      <c r="D130" s="3">
        <v>36</v>
      </c>
      <c r="E130" s="13">
        <v>5484</v>
      </c>
      <c r="F130" s="14">
        <f t="shared" si="3"/>
        <v>197424</v>
      </c>
    </row>
    <row r="131" spans="1:6" ht="25.5" x14ac:dyDescent="0.2">
      <c r="A131" s="130">
        <v>33</v>
      </c>
      <c r="B131" s="5" t="s">
        <v>137</v>
      </c>
      <c r="C131" s="2" t="s">
        <v>99</v>
      </c>
      <c r="D131" s="3">
        <v>1.25</v>
      </c>
      <c r="E131" s="13">
        <v>1549202</v>
      </c>
      <c r="F131" s="14">
        <f t="shared" si="3"/>
        <v>1936503</v>
      </c>
    </row>
    <row r="132" spans="1:6" x14ac:dyDescent="0.2">
      <c r="A132" s="130"/>
      <c r="B132" s="8" t="s">
        <v>30</v>
      </c>
      <c r="C132" s="7"/>
      <c r="D132" s="19"/>
      <c r="E132" s="20"/>
      <c r="F132" s="454">
        <f>ROUND(SUM(F100:F131),0)</f>
        <v>97883817</v>
      </c>
    </row>
    <row r="133" spans="1:6" x14ac:dyDescent="0.2">
      <c r="A133" s="12"/>
      <c r="B133" s="12"/>
      <c r="C133" s="12"/>
      <c r="D133" s="12"/>
      <c r="E133" s="12"/>
      <c r="F133" s="12"/>
    </row>
    <row r="134" spans="1:6" x14ac:dyDescent="0.2">
      <c r="A134" s="77" t="s">
        <v>77</v>
      </c>
      <c r="B134" s="109"/>
      <c r="C134" s="109"/>
      <c r="D134" s="109"/>
      <c r="E134" s="109"/>
      <c r="F134" s="327" t="s">
        <v>0</v>
      </c>
    </row>
    <row r="135" spans="1:6" x14ac:dyDescent="0.2">
      <c r="A135" s="77" t="s">
        <v>78</v>
      </c>
      <c r="B135" s="109"/>
      <c r="C135" s="109"/>
      <c r="D135" s="109"/>
      <c r="E135" s="109"/>
      <c r="F135" s="347">
        <f>ROUND(F132/1.3495,0)</f>
        <v>72533395</v>
      </c>
    </row>
    <row r="136" spans="1:6" x14ac:dyDescent="0.2">
      <c r="A136" s="77" t="s">
        <v>79</v>
      </c>
      <c r="B136" s="109"/>
      <c r="C136" s="109"/>
      <c r="D136" s="83">
        <v>0.24</v>
      </c>
      <c r="E136" s="109"/>
      <c r="F136" s="347">
        <f>ROUND(F135*D136,0)</f>
        <v>17408015</v>
      </c>
    </row>
    <row r="137" spans="1:6" x14ac:dyDescent="0.2">
      <c r="A137" s="77" t="s">
        <v>32</v>
      </c>
      <c r="B137" s="109"/>
      <c r="C137" s="109"/>
      <c r="D137" s="83">
        <v>0.05</v>
      </c>
      <c r="E137" s="109"/>
      <c r="F137" s="347">
        <f>ROUND(F135*D137,0)</f>
        <v>3626670</v>
      </c>
    </row>
    <row r="138" spans="1:6" x14ac:dyDescent="0.2">
      <c r="A138" s="77" t="s">
        <v>80</v>
      </c>
      <c r="B138" s="85"/>
      <c r="C138" s="85"/>
      <c r="D138" s="83">
        <v>0.05</v>
      </c>
      <c r="E138" s="85"/>
      <c r="F138" s="347">
        <f>ROUND(F135*D138,0)</f>
        <v>3626670</v>
      </c>
    </row>
    <row r="139" spans="1:6" x14ac:dyDescent="0.2">
      <c r="A139" s="77" t="s">
        <v>81</v>
      </c>
      <c r="B139" s="85"/>
      <c r="C139" s="85"/>
      <c r="D139" s="83"/>
      <c r="E139" s="85"/>
      <c r="F139" s="347">
        <f>ROUND(F135+F136+F137+F138,0)</f>
        <v>97194750</v>
      </c>
    </row>
    <row r="140" spans="1:6" x14ac:dyDescent="0.2">
      <c r="A140" s="77" t="s">
        <v>82</v>
      </c>
      <c r="B140" s="85"/>
      <c r="C140" s="85"/>
      <c r="D140" s="83">
        <v>0.19</v>
      </c>
      <c r="E140" s="85"/>
      <c r="F140" s="348">
        <f>ROUND(F138*D140,0)</f>
        <v>689067</v>
      </c>
    </row>
    <row r="141" spans="1:6" x14ac:dyDescent="0.2">
      <c r="A141" s="88" t="s">
        <v>83</v>
      </c>
      <c r="B141" s="88"/>
      <c r="C141" s="88"/>
      <c r="D141" s="88"/>
      <c r="E141" s="88"/>
      <c r="F141" s="111">
        <f>ROUND(SUM(F139+F140),0)</f>
        <v>97883817</v>
      </c>
    </row>
    <row r="142" spans="1:6" x14ac:dyDescent="0.2">
      <c r="F142" s="580"/>
    </row>
    <row r="145" spans="1:6" x14ac:dyDescent="0.2">
      <c r="A145" s="687" t="s">
        <v>321</v>
      </c>
      <c r="B145" s="687"/>
      <c r="C145" s="687"/>
      <c r="D145" s="687"/>
      <c r="E145" s="687"/>
      <c r="F145" s="687"/>
    </row>
    <row r="146" spans="1:6" x14ac:dyDescent="0.2">
      <c r="A146" s="685" t="s">
        <v>15</v>
      </c>
      <c r="B146" s="685" t="s">
        <v>16</v>
      </c>
      <c r="C146" s="685" t="s">
        <v>33</v>
      </c>
      <c r="D146" s="685" t="s">
        <v>34</v>
      </c>
      <c r="E146" s="685"/>
      <c r="F146" s="685"/>
    </row>
    <row r="147" spans="1:6" x14ac:dyDescent="0.2">
      <c r="A147" s="685"/>
      <c r="B147" s="685"/>
      <c r="C147" s="685"/>
      <c r="D147" s="7" t="s">
        <v>35</v>
      </c>
      <c r="E147" s="7" t="s">
        <v>36</v>
      </c>
      <c r="F147" s="7" t="s">
        <v>37</v>
      </c>
    </row>
    <row r="148" spans="1:6" x14ac:dyDescent="0.2">
      <c r="A148" s="130">
        <v>1</v>
      </c>
      <c r="B148" s="8" t="s">
        <v>38</v>
      </c>
      <c r="C148" s="685"/>
      <c r="D148" s="685"/>
      <c r="E148" s="685"/>
      <c r="F148" s="9"/>
    </row>
    <row r="149" spans="1:6" ht="25.5" x14ac:dyDescent="0.2">
      <c r="A149" s="10">
        <v>2</v>
      </c>
      <c r="B149" s="5" t="s">
        <v>108</v>
      </c>
      <c r="C149" s="110" t="s">
        <v>22</v>
      </c>
      <c r="D149" s="562">
        <v>84</v>
      </c>
      <c r="E149" s="14">
        <v>4843</v>
      </c>
      <c r="F149" s="14">
        <f t="shared" ref="F149:F171" si="4">ROUND(D149*E149,0)</f>
        <v>406812</v>
      </c>
    </row>
    <row r="150" spans="1:6" x14ac:dyDescent="0.2">
      <c r="A150" s="130">
        <f>A149+1</f>
        <v>3</v>
      </c>
      <c r="B150" s="563" t="s">
        <v>48</v>
      </c>
      <c r="C150" s="9"/>
      <c r="D150" s="15"/>
      <c r="E150" s="14"/>
      <c r="F150" s="14" t="s">
        <v>0</v>
      </c>
    </row>
    <row r="151" spans="1:6" x14ac:dyDescent="0.2">
      <c r="A151" s="130">
        <f t="shared" ref="A151:A171" si="5">A150+1</f>
        <v>4</v>
      </c>
      <c r="B151" s="1" t="s">
        <v>111</v>
      </c>
      <c r="C151" s="110" t="s">
        <v>22</v>
      </c>
      <c r="D151" s="3">
        <v>264</v>
      </c>
      <c r="E151" s="14">
        <v>7086</v>
      </c>
      <c r="F151" s="14">
        <f t="shared" si="4"/>
        <v>1870704</v>
      </c>
    </row>
    <row r="152" spans="1:6" ht="38.25" x14ac:dyDescent="0.2">
      <c r="A152" s="130">
        <f t="shared" si="5"/>
        <v>5</v>
      </c>
      <c r="B152" s="5" t="s">
        <v>112</v>
      </c>
      <c r="C152" s="110" t="s">
        <v>302</v>
      </c>
      <c r="D152" s="3">
        <v>10</v>
      </c>
      <c r="E152" s="14">
        <v>77371</v>
      </c>
      <c r="F152" s="14">
        <f t="shared" si="4"/>
        <v>773710</v>
      </c>
    </row>
    <row r="153" spans="1:6" x14ac:dyDescent="0.2">
      <c r="A153" s="130">
        <f t="shared" si="5"/>
        <v>6</v>
      </c>
      <c r="B153" s="563" t="s">
        <v>51</v>
      </c>
      <c r="C153" s="9"/>
      <c r="D153" s="15"/>
      <c r="E153" s="14"/>
      <c r="F153" s="14" t="s">
        <v>0</v>
      </c>
    </row>
    <row r="154" spans="1:6" x14ac:dyDescent="0.2">
      <c r="A154" s="130">
        <f t="shared" si="5"/>
        <v>7</v>
      </c>
      <c r="B154" s="5" t="s">
        <v>113</v>
      </c>
      <c r="C154" s="110" t="s">
        <v>302</v>
      </c>
      <c r="D154" s="3">
        <v>50</v>
      </c>
      <c r="E154" s="14">
        <v>24440</v>
      </c>
      <c r="F154" s="14">
        <f t="shared" si="4"/>
        <v>1222000</v>
      </c>
    </row>
    <row r="155" spans="1:6" ht="25.5" x14ac:dyDescent="0.2">
      <c r="A155" s="130">
        <f t="shared" si="5"/>
        <v>8</v>
      </c>
      <c r="B155" s="5" t="s">
        <v>21</v>
      </c>
      <c r="C155" s="110" t="s">
        <v>302</v>
      </c>
      <c r="D155" s="581">
        <v>32.652000000000001</v>
      </c>
      <c r="E155" s="14">
        <v>30415</v>
      </c>
      <c r="F155" s="14">
        <f t="shared" si="4"/>
        <v>993111</v>
      </c>
    </row>
    <row r="156" spans="1:6" x14ac:dyDescent="0.2">
      <c r="A156" s="130">
        <f t="shared" si="5"/>
        <v>9</v>
      </c>
      <c r="B156" s="563" t="s">
        <v>114</v>
      </c>
      <c r="C156" s="9"/>
      <c r="D156" s="15"/>
      <c r="E156" s="14"/>
      <c r="F156" s="14" t="s">
        <v>0</v>
      </c>
    </row>
    <row r="157" spans="1:6" x14ac:dyDescent="0.2">
      <c r="A157" s="130">
        <f t="shared" si="5"/>
        <v>10</v>
      </c>
      <c r="B157" s="5" t="s">
        <v>201</v>
      </c>
      <c r="C157" s="110" t="s">
        <v>22</v>
      </c>
      <c r="D157" s="3">
        <v>84</v>
      </c>
      <c r="E157" s="14">
        <f>1835*3</f>
        <v>5505</v>
      </c>
      <c r="F157" s="14">
        <f t="shared" si="4"/>
        <v>462420</v>
      </c>
    </row>
    <row r="158" spans="1:6" ht="25.5" x14ac:dyDescent="0.2">
      <c r="A158" s="130">
        <f t="shared" si="5"/>
        <v>11</v>
      </c>
      <c r="B158" s="5" t="s">
        <v>115</v>
      </c>
      <c r="C158" s="110" t="s">
        <v>116</v>
      </c>
      <c r="D158" s="3">
        <v>12</v>
      </c>
      <c r="E158" s="14">
        <v>38925</v>
      </c>
      <c r="F158" s="14">
        <f t="shared" si="4"/>
        <v>467100</v>
      </c>
    </row>
    <row r="159" spans="1:6" x14ac:dyDescent="0.2">
      <c r="A159" s="130">
        <f t="shared" si="5"/>
        <v>12</v>
      </c>
      <c r="B159" s="564" t="s">
        <v>645</v>
      </c>
      <c r="C159" s="110" t="s">
        <v>116</v>
      </c>
      <c r="D159" s="3">
        <v>1</v>
      </c>
      <c r="E159" s="14">
        <v>194622</v>
      </c>
      <c r="F159" s="14">
        <f t="shared" si="4"/>
        <v>194622</v>
      </c>
    </row>
    <row r="160" spans="1:6" ht="38.25" x14ac:dyDescent="0.2">
      <c r="A160" s="130">
        <f t="shared" si="5"/>
        <v>13</v>
      </c>
      <c r="B160" s="5" t="s">
        <v>646</v>
      </c>
      <c r="C160" s="110" t="s">
        <v>116</v>
      </c>
      <c r="D160" s="3">
        <v>1</v>
      </c>
      <c r="E160" s="14">
        <v>320000</v>
      </c>
      <c r="F160" s="14">
        <f t="shared" si="4"/>
        <v>320000</v>
      </c>
    </row>
    <row r="161" spans="1:6" x14ac:dyDescent="0.2">
      <c r="A161" s="130">
        <f t="shared" si="5"/>
        <v>14</v>
      </c>
      <c r="B161" s="4" t="s">
        <v>142</v>
      </c>
      <c r="C161" s="110" t="s">
        <v>45</v>
      </c>
      <c r="D161" s="3">
        <v>2</v>
      </c>
      <c r="E161" s="14">
        <v>83874</v>
      </c>
      <c r="F161" s="14">
        <f t="shared" si="4"/>
        <v>167748</v>
      </c>
    </row>
    <row r="162" spans="1:6" x14ac:dyDescent="0.2">
      <c r="A162" s="130">
        <f t="shared" si="5"/>
        <v>15</v>
      </c>
      <c r="B162" s="8" t="s">
        <v>120</v>
      </c>
      <c r="C162" s="9"/>
      <c r="D162" s="15"/>
      <c r="E162" s="14"/>
      <c r="F162" s="14" t="s">
        <v>0</v>
      </c>
    </row>
    <row r="163" spans="1:6" x14ac:dyDescent="0.2">
      <c r="A163" s="130">
        <f t="shared" si="5"/>
        <v>16</v>
      </c>
      <c r="B163" s="4" t="s">
        <v>25</v>
      </c>
      <c r="C163" s="110" t="s">
        <v>302</v>
      </c>
      <c r="D163" s="3">
        <v>8</v>
      </c>
      <c r="E163" s="14">
        <v>112055</v>
      </c>
      <c r="F163" s="14">
        <f t="shared" si="4"/>
        <v>896440</v>
      </c>
    </row>
    <row r="164" spans="1:6" x14ac:dyDescent="0.2">
      <c r="A164" s="130">
        <f t="shared" si="5"/>
        <v>17</v>
      </c>
      <c r="B164" s="5" t="s">
        <v>121</v>
      </c>
      <c r="C164" s="110" t="s">
        <v>302</v>
      </c>
      <c r="D164" s="3">
        <v>26</v>
      </c>
      <c r="E164" s="14">
        <v>20553</v>
      </c>
      <c r="F164" s="14">
        <f t="shared" si="4"/>
        <v>534378</v>
      </c>
    </row>
    <row r="165" spans="1:6" x14ac:dyDescent="0.2">
      <c r="A165" s="130">
        <f t="shared" si="5"/>
        <v>18</v>
      </c>
      <c r="B165" s="4" t="s">
        <v>143</v>
      </c>
      <c r="C165" s="110" t="s">
        <v>302</v>
      </c>
      <c r="D165" s="3">
        <v>14</v>
      </c>
      <c r="E165" s="14">
        <v>134520</v>
      </c>
      <c r="F165" s="14">
        <f t="shared" si="4"/>
        <v>1883280</v>
      </c>
    </row>
    <row r="166" spans="1:6" x14ac:dyDescent="0.2">
      <c r="A166" s="130">
        <f t="shared" si="5"/>
        <v>19</v>
      </c>
      <c r="B166" s="8" t="s">
        <v>123</v>
      </c>
      <c r="C166" s="9"/>
      <c r="D166" s="15"/>
      <c r="E166" s="14"/>
      <c r="F166" s="14" t="s">
        <v>0</v>
      </c>
    </row>
    <row r="167" spans="1:6" ht="25.5" x14ac:dyDescent="0.2">
      <c r="A167" s="130">
        <f t="shared" si="5"/>
        <v>20</v>
      </c>
      <c r="B167" s="5" t="s">
        <v>72</v>
      </c>
      <c r="C167" s="110" t="s">
        <v>302</v>
      </c>
      <c r="D167" s="3">
        <v>0.5</v>
      </c>
      <c r="E167" s="14">
        <v>562312</v>
      </c>
      <c r="F167" s="14">
        <f t="shared" si="4"/>
        <v>281156</v>
      </c>
    </row>
    <row r="168" spans="1:6" x14ac:dyDescent="0.2">
      <c r="A168" s="130">
        <f t="shared" si="5"/>
        <v>21</v>
      </c>
      <c r="B168" s="4" t="s">
        <v>124</v>
      </c>
      <c r="C168" s="110" t="s">
        <v>302</v>
      </c>
      <c r="D168" s="3">
        <v>1</v>
      </c>
      <c r="E168" s="14">
        <v>763644</v>
      </c>
      <c r="F168" s="14">
        <f t="shared" si="4"/>
        <v>763644</v>
      </c>
    </row>
    <row r="169" spans="1:6" x14ac:dyDescent="0.2">
      <c r="A169" s="130">
        <f t="shared" si="5"/>
        <v>22</v>
      </c>
      <c r="B169" s="8" t="s">
        <v>74</v>
      </c>
      <c r="C169" s="9"/>
      <c r="D169" s="15"/>
      <c r="E169" s="14"/>
      <c r="F169" s="14" t="s">
        <v>0</v>
      </c>
    </row>
    <row r="170" spans="1:6" x14ac:dyDescent="0.2">
      <c r="A170" s="130">
        <f t="shared" si="5"/>
        <v>23</v>
      </c>
      <c r="B170" s="4" t="s">
        <v>135</v>
      </c>
      <c r="C170" s="110" t="s">
        <v>136</v>
      </c>
      <c r="D170" s="3">
        <v>18</v>
      </c>
      <c r="E170" s="14">
        <v>5484</v>
      </c>
      <c r="F170" s="14">
        <f t="shared" si="4"/>
        <v>98712</v>
      </c>
    </row>
    <row r="171" spans="1:6" ht="25.5" x14ac:dyDescent="0.2">
      <c r="A171" s="130">
        <f t="shared" si="5"/>
        <v>24</v>
      </c>
      <c r="B171" s="5" t="s">
        <v>137</v>
      </c>
      <c r="C171" s="2" t="s">
        <v>99</v>
      </c>
      <c r="D171" s="3">
        <v>1.25</v>
      </c>
      <c r="E171" s="14">
        <v>1351872</v>
      </c>
      <c r="F171" s="14">
        <f t="shared" si="4"/>
        <v>1689840</v>
      </c>
    </row>
    <row r="172" spans="1:6" x14ac:dyDescent="0.2">
      <c r="A172" s="130"/>
      <c r="B172" s="8" t="s">
        <v>30</v>
      </c>
      <c r="C172" s="7"/>
      <c r="D172" s="19"/>
      <c r="E172" s="565"/>
      <c r="F172" s="454">
        <f>ROUND(SUM(F149:F171),0)</f>
        <v>13025677</v>
      </c>
    </row>
    <row r="173" spans="1:6" x14ac:dyDescent="0.2">
      <c r="A173" s="12"/>
      <c r="B173" s="12"/>
      <c r="C173" s="12"/>
      <c r="D173" s="12"/>
      <c r="E173" s="12"/>
      <c r="F173" s="12"/>
    </row>
    <row r="174" spans="1:6" x14ac:dyDescent="0.2">
      <c r="A174" s="77" t="s">
        <v>77</v>
      </c>
      <c r="B174" s="109"/>
      <c r="C174" s="109"/>
      <c r="D174" s="109"/>
      <c r="E174" s="109"/>
      <c r="F174" s="82" t="s">
        <v>0</v>
      </c>
    </row>
    <row r="175" spans="1:6" x14ac:dyDescent="0.2">
      <c r="A175" s="77" t="s">
        <v>78</v>
      </c>
      <c r="B175" s="109"/>
      <c r="C175" s="109"/>
      <c r="D175" s="109"/>
      <c r="E175" s="109"/>
      <c r="F175" s="347">
        <f>ROUND(F172/1.3495,0)</f>
        <v>9652225</v>
      </c>
    </row>
    <row r="176" spans="1:6" x14ac:dyDescent="0.2">
      <c r="A176" s="77" t="s">
        <v>79</v>
      </c>
      <c r="B176" s="109"/>
      <c r="C176" s="109"/>
      <c r="D176" s="83">
        <v>0.24</v>
      </c>
      <c r="E176" s="109"/>
      <c r="F176" s="347">
        <f>ROUND(F175*D176,0)</f>
        <v>2316534</v>
      </c>
    </row>
    <row r="177" spans="1:6" x14ac:dyDescent="0.2">
      <c r="A177" s="77" t="s">
        <v>32</v>
      </c>
      <c r="B177" s="109"/>
      <c r="C177" s="109"/>
      <c r="D177" s="83">
        <v>0.05</v>
      </c>
      <c r="E177" s="109"/>
      <c r="F177" s="347">
        <f>ROUND(F175*D177,0)</f>
        <v>482611</v>
      </c>
    </row>
    <row r="178" spans="1:6" x14ac:dyDescent="0.2">
      <c r="A178" s="77" t="s">
        <v>80</v>
      </c>
      <c r="B178" s="85"/>
      <c r="C178" s="85"/>
      <c r="D178" s="83">
        <v>0.05</v>
      </c>
      <c r="E178" s="85"/>
      <c r="F178" s="347">
        <f>ROUND(F175*D178,0)</f>
        <v>482611</v>
      </c>
    </row>
    <row r="179" spans="1:6" x14ac:dyDescent="0.2">
      <c r="A179" s="77" t="s">
        <v>81</v>
      </c>
      <c r="B179" s="85"/>
      <c r="C179" s="85"/>
      <c r="D179" s="83"/>
      <c r="E179" s="85"/>
      <c r="F179" s="347">
        <f>ROUND(F175+F176+F177+F178,0)</f>
        <v>12933981</v>
      </c>
    </row>
    <row r="180" spans="1:6" x14ac:dyDescent="0.2">
      <c r="A180" s="77" t="s">
        <v>82</v>
      </c>
      <c r="B180" s="85"/>
      <c r="C180" s="85"/>
      <c r="D180" s="83">
        <v>0.19</v>
      </c>
      <c r="E180" s="85"/>
      <c r="F180" s="348">
        <f>ROUND(F178*D180,0)</f>
        <v>91696</v>
      </c>
    </row>
    <row r="181" spans="1:6" x14ac:dyDescent="0.2">
      <c r="A181" s="88" t="s">
        <v>83</v>
      </c>
      <c r="B181" s="88"/>
      <c r="C181" s="88"/>
      <c r="D181" s="88"/>
      <c r="E181" s="88"/>
      <c r="F181" s="111">
        <f>ROUND(SUM(F179+F180),0)</f>
        <v>13025677</v>
      </c>
    </row>
    <row r="184" spans="1:6" x14ac:dyDescent="0.2">
      <c r="A184" s="687" t="s">
        <v>322</v>
      </c>
      <c r="B184" s="687"/>
      <c r="C184" s="687"/>
      <c r="D184" s="687"/>
      <c r="E184" s="687"/>
      <c r="F184" s="687"/>
    </row>
    <row r="185" spans="1:6" x14ac:dyDescent="0.2">
      <c r="A185" s="685" t="s">
        <v>15</v>
      </c>
      <c r="B185" s="685" t="s">
        <v>16</v>
      </c>
      <c r="C185" s="685" t="s">
        <v>33</v>
      </c>
      <c r="D185" s="685" t="s">
        <v>34</v>
      </c>
      <c r="E185" s="685"/>
      <c r="F185" s="685"/>
    </row>
    <row r="186" spans="1:6" x14ac:dyDescent="0.2">
      <c r="A186" s="685"/>
      <c r="B186" s="685"/>
      <c r="C186" s="685"/>
      <c r="D186" s="7" t="s">
        <v>35</v>
      </c>
      <c r="E186" s="7" t="s">
        <v>36</v>
      </c>
      <c r="F186" s="7" t="s">
        <v>37</v>
      </c>
    </row>
    <row r="187" spans="1:6" x14ac:dyDescent="0.2">
      <c r="A187" s="130">
        <v>1</v>
      </c>
      <c r="B187" s="8" t="s">
        <v>38</v>
      </c>
      <c r="C187" s="685"/>
      <c r="D187" s="685"/>
      <c r="E187" s="685"/>
      <c r="F187" s="9"/>
    </row>
    <row r="188" spans="1:6" ht="25.5" x14ac:dyDescent="0.2">
      <c r="A188" s="10">
        <v>2</v>
      </c>
      <c r="B188" s="5" t="s">
        <v>108</v>
      </c>
      <c r="C188" s="110" t="s">
        <v>22</v>
      </c>
      <c r="D188" s="562">
        <v>78</v>
      </c>
      <c r="E188" s="14">
        <v>4843</v>
      </c>
      <c r="F188" s="14">
        <f t="shared" ref="F188:F210" si="6">ROUND(D188*E188,0)</f>
        <v>377754</v>
      </c>
    </row>
    <row r="189" spans="1:6" x14ac:dyDescent="0.2">
      <c r="A189" s="130">
        <f>A188+1</f>
        <v>3</v>
      </c>
      <c r="B189" s="8" t="s">
        <v>48</v>
      </c>
      <c r="C189" s="9"/>
      <c r="D189" s="15"/>
      <c r="E189" s="14"/>
      <c r="F189" s="14" t="s">
        <v>0</v>
      </c>
    </row>
    <row r="190" spans="1:6" x14ac:dyDescent="0.2">
      <c r="A190" s="130">
        <f t="shared" ref="A190:A210" si="7">A189+1</f>
        <v>4</v>
      </c>
      <c r="B190" s="1" t="s">
        <v>111</v>
      </c>
      <c r="C190" s="110" t="s">
        <v>22</v>
      </c>
      <c r="D190" s="3">
        <v>300</v>
      </c>
      <c r="E190" s="14">
        <v>7086</v>
      </c>
      <c r="F190" s="14">
        <f t="shared" si="6"/>
        <v>2125800</v>
      </c>
    </row>
    <row r="191" spans="1:6" ht="38.25" x14ac:dyDescent="0.2">
      <c r="A191" s="130">
        <f t="shared" si="7"/>
        <v>5</v>
      </c>
      <c r="B191" s="5" t="s">
        <v>112</v>
      </c>
      <c r="C191" s="110" t="s">
        <v>302</v>
      </c>
      <c r="D191" s="3">
        <v>11</v>
      </c>
      <c r="E191" s="14">
        <v>77371</v>
      </c>
      <c r="F191" s="14">
        <f t="shared" si="6"/>
        <v>851081</v>
      </c>
    </row>
    <row r="192" spans="1:6" x14ac:dyDescent="0.2">
      <c r="A192" s="130">
        <f t="shared" si="7"/>
        <v>6</v>
      </c>
      <c r="B192" s="8" t="s">
        <v>51</v>
      </c>
      <c r="C192" s="9"/>
      <c r="D192" s="15"/>
      <c r="E192" s="14"/>
      <c r="F192" s="14" t="s">
        <v>0</v>
      </c>
    </row>
    <row r="193" spans="1:6" x14ac:dyDescent="0.2">
      <c r="A193" s="130">
        <f t="shared" si="7"/>
        <v>7</v>
      </c>
      <c r="B193" s="17" t="s">
        <v>113</v>
      </c>
      <c r="C193" s="110" t="s">
        <v>302</v>
      </c>
      <c r="D193" s="3">
        <v>50</v>
      </c>
      <c r="E193" s="14">
        <v>24440</v>
      </c>
      <c r="F193" s="14">
        <f t="shared" si="6"/>
        <v>1222000</v>
      </c>
    </row>
    <row r="194" spans="1:6" ht="25.5" x14ac:dyDescent="0.2">
      <c r="A194" s="130">
        <f t="shared" si="7"/>
        <v>8</v>
      </c>
      <c r="B194" s="5" t="s">
        <v>21</v>
      </c>
      <c r="C194" s="110" t="s">
        <v>302</v>
      </c>
      <c r="D194" s="3">
        <v>34</v>
      </c>
      <c r="E194" s="14">
        <v>30415</v>
      </c>
      <c r="F194" s="14">
        <f t="shared" si="6"/>
        <v>1034110</v>
      </c>
    </row>
    <row r="195" spans="1:6" x14ac:dyDescent="0.2">
      <c r="A195" s="130">
        <f t="shared" si="7"/>
        <v>9</v>
      </c>
      <c r="B195" s="8" t="s">
        <v>114</v>
      </c>
      <c r="C195" s="9"/>
      <c r="D195" s="15"/>
      <c r="E195" s="14"/>
      <c r="F195" s="14" t="s">
        <v>0</v>
      </c>
    </row>
    <row r="196" spans="1:6" x14ac:dyDescent="0.2">
      <c r="A196" s="130">
        <f t="shared" si="7"/>
        <v>10</v>
      </c>
      <c r="B196" s="5" t="s">
        <v>201</v>
      </c>
      <c r="C196" s="110" t="s">
        <v>22</v>
      </c>
      <c r="D196" s="3">
        <v>78</v>
      </c>
      <c r="E196" s="14">
        <f>1835*3</f>
        <v>5505</v>
      </c>
      <c r="F196" s="14">
        <f t="shared" si="6"/>
        <v>429390</v>
      </c>
    </row>
    <row r="197" spans="1:6" ht="25.5" x14ac:dyDescent="0.2">
      <c r="A197" s="130">
        <f t="shared" si="7"/>
        <v>11</v>
      </c>
      <c r="B197" s="5" t="s">
        <v>115</v>
      </c>
      <c r="C197" s="110" t="s">
        <v>116</v>
      </c>
      <c r="D197" s="3">
        <v>18</v>
      </c>
      <c r="E197" s="14">
        <v>38925</v>
      </c>
      <c r="F197" s="14">
        <f t="shared" si="6"/>
        <v>700650</v>
      </c>
    </row>
    <row r="198" spans="1:6" x14ac:dyDescent="0.2">
      <c r="A198" s="130">
        <f t="shared" si="7"/>
        <v>12</v>
      </c>
      <c r="B198" s="18" t="s">
        <v>203</v>
      </c>
      <c r="C198" s="110" t="s">
        <v>116</v>
      </c>
      <c r="D198" s="3">
        <v>1</v>
      </c>
      <c r="E198" s="14">
        <v>194622</v>
      </c>
      <c r="F198" s="14">
        <f t="shared" si="6"/>
        <v>194622</v>
      </c>
    </row>
    <row r="199" spans="1:6" ht="38.25" x14ac:dyDescent="0.2">
      <c r="A199" s="130">
        <f t="shared" si="7"/>
        <v>13</v>
      </c>
      <c r="B199" s="17" t="s">
        <v>646</v>
      </c>
      <c r="C199" s="110" t="s">
        <v>116</v>
      </c>
      <c r="D199" s="3">
        <v>1</v>
      </c>
      <c r="E199" s="14">
        <v>320000</v>
      </c>
      <c r="F199" s="14">
        <f t="shared" si="6"/>
        <v>320000</v>
      </c>
    </row>
    <row r="200" spans="1:6" x14ac:dyDescent="0.2">
      <c r="A200" s="130">
        <f t="shared" si="7"/>
        <v>14</v>
      </c>
      <c r="B200" s="5" t="s">
        <v>142</v>
      </c>
      <c r="C200" s="110" t="s">
        <v>45</v>
      </c>
      <c r="D200" s="3">
        <v>2</v>
      </c>
      <c r="E200" s="14">
        <v>83874</v>
      </c>
      <c r="F200" s="14">
        <f t="shared" si="6"/>
        <v>167748</v>
      </c>
    </row>
    <row r="201" spans="1:6" x14ac:dyDescent="0.2">
      <c r="A201" s="130">
        <f t="shared" si="7"/>
        <v>15</v>
      </c>
      <c r="B201" s="563" t="s">
        <v>120</v>
      </c>
      <c r="C201" s="9"/>
      <c r="D201" s="15"/>
      <c r="E201" s="14"/>
      <c r="F201" s="14" t="s">
        <v>0</v>
      </c>
    </row>
    <row r="202" spans="1:6" x14ac:dyDescent="0.2">
      <c r="A202" s="130">
        <f t="shared" si="7"/>
        <v>16</v>
      </c>
      <c r="B202" s="5" t="s">
        <v>25</v>
      </c>
      <c r="C202" s="110" t="s">
        <v>302</v>
      </c>
      <c r="D202" s="3">
        <v>7</v>
      </c>
      <c r="E202" s="14">
        <v>112055</v>
      </c>
      <c r="F202" s="14">
        <f t="shared" si="6"/>
        <v>784385</v>
      </c>
    </row>
    <row r="203" spans="1:6" x14ac:dyDescent="0.2">
      <c r="A203" s="130">
        <f t="shared" si="7"/>
        <v>17</v>
      </c>
      <c r="B203" s="5" t="s">
        <v>121</v>
      </c>
      <c r="C203" s="110" t="s">
        <v>302</v>
      </c>
      <c r="D203" s="3">
        <v>26</v>
      </c>
      <c r="E203" s="14">
        <v>20553</v>
      </c>
      <c r="F203" s="14">
        <f t="shared" si="6"/>
        <v>534378</v>
      </c>
    </row>
    <row r="204" spans="1:6" x14ac:dyDescent="0.2">
      <c r="A204" s="130">
        <f t="shared" si="7"/>
        <v>18</v>
      </c>
      <c r="B204" s="5" t="s">
        <v>143</v>
      </c>
      <c r="C204" s="110" t="s">
        <v>302</v>
      </c>
      <c r="D204" s="3">
        <v>15</v>
      </c>
      <c r="E204" s="14">
        <v>134520</v>
      </c>
      <c r="F204" s="14">
        <f t="shared" si="6"/>
        <v>2017800</v>
      </c>
    </row>
    <row r="205" spans="1:6" x14ac:dyDescent="0.2">
      <c r="A205" s="130">
        <f t="shared" si="7"/>
        <v>19</v>
      </c>
      <c r="B205" s="563" t="s">
        <v>123</v>
      </c>
      <c r="C205" s="9"/>
      <c r="D205" s="15"/>
      <c r="E205" s="14"/>
      <c r="F205" s="14" t="s">
        <v>0</v>
      </c>
    </row>
    <row r="206" spans="1:6" ht="25.5" x14ac:dyDescent="0.2">
      <c r="A206" s="130">
        <f t="shared" si="7"/>
        <v>20</v>
      </c>
      <c r="B206" s="5" t="s">
        <v>72</v>
      </c>
      <c r="C206" s="110" t="s">
        <v>302</v>
      </c>
      <c r="D206" s="3">
        <v>0.5</v>
      </c>
      <c r="E206" s="14">
        <v>562312</v>
      </c>
      <c r="F206" s="14">
        <f t="shared" si="6"/>
        <v>281156</v>
      </c>
    </row>
    <row r="207" spans="1:6" x14ac:dyDescent="0.2">
      <c r="A207" s="130">
        <f t="shared" si="7"/>
        <v>21</v>
      </c>
      <c r="B207" s="5" t="s">
        <v>124</v>
      </c>
      <c r="C207" s="110" t="s">
        <v>302</v>
      </c>
      <c r="D207" s="3">
        <v>1</v>
      </c>
      <c r="E207" s="14">
        <v>763644</v>
      </c>
      <c r="F207" s="14">
        <f t="shared" si="6"/>
        <v>763644</v>
      </c>
    </row>
    <row r="208" spans="1:6" x14ac:dyDescent="0.2">
      <c r="A208" s="130">
        <f t="shared" si="7"/>
        <v>22</v>
      </c>
      <c r="B208" s="563" t="s">
        <v>74</v>
      </c>
      <c r="C208" s="9"/>
      <c r="D208" s="15"/>
      <c r="E208" s="14"/>
      <c r="F208" s="14" t="s">
        <v>0</v>
      </c>
    </row>
    <row r="209" spans="1:6" x14ac:dyDescent="0.2">
      <c r="A209" s="130">
        <f t="shared" si="7"/>
        <v>23</v>
      </c>
      <c r="B209" s="5" t="s">
        <v>135</v>
      </c>
      <c r="C209" s="110" t="s">
        <v>136</v>
      </c>
      <c r="D209" s="3">
        <v>18</v>
      </c>
      <c r="E209" s="14">
        <v>5484</v>
      </c>
      <c r="F209" s="14">
        <f t="shared" si="6"/>
        <v>98712</v>
      </c>
    </row>
    <row r="210" spans="1:6" ht="25.5" x14ac:dyDescent="0.2">
      <c r="A210" s="130">
        <f t="shared" si="7"/>
        <v>24</v>
      </c>
      <c r="B210" s="5" t="s">
        <v>137</v>
      </c>
      <c r="C210" s="2" t="s">
        <v>99</v>
      </c>
      <c r="D210" s="3">
        <v>1.25</v>
      </c>
      <c r="E210" s="14">
        <v>1351872</v>
      </c>
      <c r="F210" s="14">
        <f t="shared" si="6"/>
        <v>1689840</v>
      </c>
    </row>
    <row r="211" spans="1:6" x14ac:dyDescent="0.2">
      <c r="A211" s="130"/>
      <c r="B211" s="563" t="s">
        <v>30</v>
      </c>
      <c r="C211" s="7"/>
      <c r="D211" s="566"/>
      <c r="E211" s="565"/>
      <c r="F211" s="454">
        <f>ROUND(SUM(F188:F210),0)</f>
        <v>13593070</v>
      </c>
    </row>
    <row r="212" spans="1:6" x14ac:dyDescent="0.2">
      <c r="A212" s="12"/>
      <c r="B212" s="332"/>
      <c r="C212" s="12"/>
      <c r="D212" s="567"/>
      <c r="E212" s="12"/>
      <c r="F212" s="12"/>
    </row>
    <row r="213" spans="1:6" x14ac:dyDescent="0.2">
      <c r="A213" s="77" t="s">
        <v>77</v>
      </c>
      <c r="B213" s="109"/>
      <c r="C213" s="109"/>
      <c r="D213" s="109"/>
      <c r="E213" s="109"/>
      <c r="F213" s="82" t="s">
        <v>0</v>
      </c>
    </row>
    <row r="214" spans="1:6" x14ac:dyDescent="0.2">
      <c r="A214" s="77" t="s">
        <v>78</v>
      </c>
      <c r="B214" s="109"/>
      <c r="C214" s="109"/>
      <c r="D214" s="109"/>
      <c r="E214" s="109"/>
      <c r="F214" s="347">
        <f>ROUND(F211/1.3495,0)</f>
        <v>10072671</v>
      </c>
    </row>
    <row r="215" spans="1:6" x14ac:dyDescent="0.2">
      <c r="A215" s="77" t="s">
        <v>79</v>
      </c>
      <c r="B215" s="109"/>
      <c r="C215" s="109"/>
      <c r="D215" s="83">
        <v>0.24</v>
      </c>
      <c r="E215" s="109"/>
      <c r="F215" s="347">
        <f>ROUND(F214*D215,0)</f>
        <v>2417441</v>
      </c>
    </row>
    <row r="216" spans="1:6" x14ac:dyDescent="0.2">
      <c r="A216" s="77" t="s">
        <v>32</v>
      </c>
      <c r="B216" s="109"/>
      <c r="C216" s="109"/>
      <c r="D216" s="83">
        <v>0.05</v>
      </c>
      <c r="E216" s="109"/>
      <c r="F216" s="347">
        <f>ROUND(F214*D216,0)</f>
        <v>503634</v>
      </c>
    </row>
    <row r="217" spans="1:6" x14ac:dyDescent="0.2">
      <c r="A217" s="77" t="s">
        <v>80</v>
      </c>
      <c r="B217" s="85"/>
      <c r="C217" s="85"/>
      <c r="D217" s="83">
        <v>0.05</v>
      </c>
      <c r="E217" s="85"/>
      <c r="F217" s="347">
        <f>ROUND(F214*D217,0)</f>
        <v>503634</v>
      </c>
    </row>
    <row r="218" spans="1:6" x14ac:dyDescent="0.2">
      <c r="A218" s="77" t="s">
        <v>81</v>
      </c>
      <c r="B218" s="85"/>
      <c r="C218" s="85"/>
      <c r="D218" s="83"/>
      <c r="E218" s="85"/>
      <c r="F218" s="347">
        <f>ROUND(F214+F215+F216+F217,0)</f>
        <v>13497380</v>
      </c>
    </row>
    <row r="219" spans="1:6" x14ac:dyDescent="0.2">
      <c r="A219" s="77" t="s">
        <v>82</v>
      </c>
      <c r="B219" s="85"/>
      <c r="C219" s="85"/>
      <c r="D219" s="83">
        <v>0.19</v>
      </c>
      <c r="E219" s="85"/>
      <c r="F219" s="348">
        <f>ROUND(F217*D219,0)</f>
        <v>95690</v>
      </c>
    </row>
    <row r="220" spans="1:6" x14ac:dyDescent="0.2">
      <c r="A220" s="88" t="s">
        <v>83</v>
      </c>
      <c r="B220" s="88"/>
      <c r="C220" s="88"/>
      <c r="D220" s="88"/>
      <c r="E220" s="88"/>
      <c r="F220" s="111">
        <f>ROUND(SUM(F218+F219),0)</f>
        <v>13593070</v>
      </c>
    </row>
    <row r="223" spans="1:6" x14ac:dyDescent="0.2">
      <c r="A223" s="687" t="s">
        <v>323</v>
      </c>
      <c r="B223" s="687"/>
      <c r="C223" s="687"/>
      <c r="D223" s="687"/>
      <c r="E223" s="687"/>
      <c r="F223" s="687"/>
    </row>
    <row r="224" spans="1:6" x14ac:dyDescent="0.2">
      <c r="A224" s="685" t="s">
        <v>15</v>
      </c>
      <c r="B224" s="685" t="s">
        <v>16</v>
      </c>
      <c r="C224" s="685" t="s">
        <v>33</v>
      </c>
      <c r="D224" s="685" t="s">
        <v>34</v>
      </c>
      <c r="E224" s="685"/>
      <c r="F224" s="685"/>
    </row>
    <row r="225" spans="1:6" x14ac:dyDescent="0.2">
      <c r="A225" s="685"/>
      <c r="B225" s="685"/>
      <c r="C225" s="685"/>
      <c r="D225" s="7" t="s">
        <v>35</v>
      </c>
      <c r="E225" s="7" t="s">
        <v>36</v>
      </c>
      <c r="F225" s="7" t="s">
        <v>37</v>
      </c>
    </row>
    <row r="226" spans="1:6" x14ac:dyDescent="0.2">
      <c r="A226" s="130">
        <v>1</v>
      </c>
      <c r="B226" s="8" t="s">
        <v>38</v>
      </c>
      <c r="C226" s="685"/>
      <c r="D226" s="685"/>
      <c r="E226" s="685"/>
      <c r="F226" s="9"/>
    </row>
    <row r="227" spans="1:6" ht="25.5" x14ac:dyDescent="0.2">
      <c r="A227" s="10">
        <v>2</v>
      </c>
      <c r="B227" s="5" t="s">
        <v>108</v>
      </c>
      <c r="C227" s="110" t="s">
        <v>22</v>
      </c>
      <c r="D227" s="562">
        <v>36</v>
      </c>
      <c r="E227" s="14">
        <v>4843</v>
      </c>
      <c r="F227" s="14">
        <f t="shared" ref="F227:F249" si="8">ROUND(D227*E227,0)</f>
        <v>174348</v>
      </c>
    </row>
    <row r="228" spans="1:6" x14ac:dyDescent="0.2">
      <c r="A228" s="130">
        <f>A227+1</f>
        <v>3</v>
      </c>
      <c r="B228" s="563" t="s">
        <v>48</v>
      </c>
      <c r="C228" s="9"/>
      <c r="D228" s="15"/>
      <c r="E228" s="14"/>
      <c r="F228" s="14" t="s">
        <v>0</v>
      </c>
    </row>
    <row r="229" spans="1:6" x14ac:dyDescent="0.2">
      <c r="A229" s="130">
        <f t="shared" ref="A229:A249" si="9">A228+1</f>
        <v>4</v>
      </c>
      <c r="B229" s="1" t="s">
        <v>111</v>
      </c>
      <c r="C229" s="110" t="s">
        <v>22</v>
      </c>
      <c r="D229" s="3">
        <v>144</v>
      </c>
      <c r="E229" s="14">
        <v>7086</v>
      </c>
      <c r="F229" s="14">
        <f t="shared" si="8"/>
        <v>1020384</v>
      </c>
    </row>
    <row r="230" spans="1:6" ht="38.25" x14ac:dyDescent="0.2">
      <c r="A230" s="130">
        <f t="shared" si="9"/>
        <v>5</v>
      </c>
      <c r="B230" s="5" t="s">
        <v>112</v>
      </c>
      <c r="C230" s="110" t="s">
        <v>302</v>
      </c>
      <c r="D230" s="3">
        <v>5</v>
      </c>
      <c r="E230" s="14">
        <v>77371</v>
      </c>
      <c r="F230" s="14">
        <f t="shared" si="8"/>
        <v>386855</v>
      </c>
    </row>
    <row r="231" spans="1:6" x14ac:dyDescent="0.2">
      <c r="A231" s="130">
        <f t="shared" si="9"/>
        <v>6</v>
      </c>
      <c r="B231" s="563" t="s">
        <v>51</v>
      </c>
      <c r="C231" s="9"/>
      <c r="D231" s="15"/>
      <c r="E231" s="14"/>
      <c r="F231" s="14" t="s">
        <v>0</v>
      </c>
    </row>
    <row r="232" spans="1:6" x14ac:dyDescent="0.2">
      <c r="A232" s="130">
        <f t="shared" si="9"/>
        <v>7</v>
      </c>
      <c r="B232" s="5" t="s">
        <v>113</v>
      </c>
      <c r="C232" s="110" t="s">
        <v>302</v>
      </c>
      <c r="D232" s="3">
        <v>23</v>
      </c>
      <c r="E232" s="14">
        <v>24440</v>
      </c>
      <c r="F232" s="14">
        <f t="shared" si="8"/>
        <v>562120</v>
      </c>
    </row>
    <row r="233" spans="1:6" ht="25.5" x14ac:dyDescent="0.2">
      <c r="A233" s="130">
        <f t="shared" si="9"/>
        <v>8</v>
      </c>
      <c r="B233" s="5" t="s">
        <v>21</v>
      </c>
      <c r="C233" s="110" t="s">
        <v>302</v>
      </c>
      <c r="D233" s="3">
        <v>16</v>
      </c>
      <c r="E233" s="14">
        <v>30415</v>
      </c>
      <c r="F233" s="14">
        <f t="shared" si="8"/>
        <v>486640</v>
      </c>
    </row>
    <row r="234" spans="1:6" x14ac:dyDescent="0.2">
      <c r="A234" s="130">
        <f t="shared" si="9"/>
        <v>9</v>
      </c>
      <c r="B234" s="563" t="s">
        <v>114</v>
      </c>
      <c r="C234" s="9"/>
      <c r="D234" s="15"/>
      <c r="E234" s="14"/>
      <c r="F234" s="14" t="s">
        <v>0</v>
      </c>
    </row>
    <row r="235" spans="1:6" x14ac:dyDescent="0.2">
      <c r="A235" s="130">
        <f t="shared" si="9"/>
        <v>10</v>
      </c>
      <c r="B235" s="5" t="s">
        <v>201</v>
      </c>
      <c r="C235" s="110" t="s">
        <v>22</v>
      </c>
      <c r="D235" s="3">
        <v>36</v>
      </c>
      <c r="E235" s="14">
        <f>1835*3</f>
        <v>5505</v>
      </c>
      <c r="F235" s="14">
        <f t="shared" si="8"/>
        <v>198180</v>
      </c>
    </row>
    <row r="236" spans="1:6" ht="25.5" x14ac:dyDescent="0.2">
      <c r="A236" s="130">
        <f t="shared" si="9"/>
        <v>11</v>
      </c>
      <c r="B236" s="5" t="s">
        <v>115</v>
      </c>
      <c r="C236" s="110" t="s">
        <v>116</v>
      </c>
      <c r="D236" s="3">
        <v>8</v>
      </c>
      <c r="E236" s="14">
        <v>38925</v>
      </c>
      <c r="F236" s="14">
        <f t="shared" si="8"/>
        <v>311400</v>
      </c>
    </row>
    <row r="237" spans="1:6" x14ac:dyDescent="0.2">
      <c r="A237" s="130">
        <f t="shared" si="9"/>
        <v>12</v>
      </c>
      <c r="B237" s="18" t="s">
        <v>203</v>
      </c>
      <c r="C237" s="110" t="s">
        <v>116</v>
      </c>
      <c r="D237" s="3">
        <v>1</v>
      </c>
      <c r="E237" s="14">
        <v>194622</v>
      </c>
      <c r="F237" s="14">
        <f t="shared" si="8"/>
        <v>194622</v>
      </c>
    </row>
    <row r="238" spans="1:6" ht="38.25" x14ac:dyDescent="0.2">
      <c r="A238" s="130">
        <f t="shared" si="9"/>
        <v>13</v>
      </c>
      <c r="B238" s="5" t="s">
        <v>646</v>
      </c>
      <c r="C238" s="110" t="s">
        <v>116</v>
      </c>
      <c r="D238" s="3">
        <v>1</v>
      </c>
      <c r="E238" s="14">
        <v>320000</v>
      </c>
      <c r="F238" s="14">
        <f t="shared" si="8"/>
        <v>320000</v>
      </c>
    </row>
    <row r="239" spans="1:6" x14ac:dyDescent="0.2">
      <c r="A239" s="130">
        <f t="shared" si="9"/>
        <v>14</v>
      </c>
      <c r="B239" s="5" t="s">
        <v>142</v>
      </c>
      <c r="C239" s="110" t="s">
        <v>45</v>
      </c>
      <c r="D239" s="3">
        <v>2</v>
      </c>
      <c r="E239" s="14">
        <v>83874</v>
      </c>
      <c r="F239" s="14">
        <f t="shared" si="8"/>
        <v>167748</v>
      </c>
    </row>
    <row r="240" spans="1:6" x14ac:dyDescent="0.2">
      <c r="A240" s="130">
        <f t="shared" si="9"/>
        <v>15</v>
      </c>
      <c r="B240" s="563" t="s">
        <v>120</v>
      </c>
      <c r="C240" s="9"/>
      <c r="D240" s="15"/>
      <c r="E240" s="14"/>
      <c r="F240" s="14" t="s">
        <v>0</v>
      </c>
    </row>
    <row r="241" spans="1:6" x14ac:dyDescent="0.2">
      <c r="A241" s="130">
        <f t="shared" si="9"/>
        <v>16</v>
      </c>
      <c r="B241" s="5" t="s">
        <v>25</v>
      </c>
      <c r="C241" s="110" t="s">
        <v>302</v>
      </c>
      <c r="D241" s="3">
        <v>4</v>
      </c>
      <c r="E241" s="14">
        <v>112055</v>
      </c>
      <c r="F241" s="14">
        <f t="shared" si="8"/>
        <v>448220</v>
      </c>
    </row>
    <row r="242" spans="1:6" x14ac:dyDescent="0.2">
      <c r="A242" s="130">
        <f t="shared" si="9"/>
        <v>17</v>
      </c>
      <c r="B242" s="5" t="s">
        <v>121</v>
      </c>
      <c r="C242" s="110" t="s">
        <v>302</v>
      </c>
      <c r="D242" s="3">
        <v>13</v>
      </c>
      <c r="E242" s="14">
        <v>20553</v>
      </c>
      <c r="F242" s="14">
        <f t="shared" si="8"/>
        <v>267189</v>
      </c>
    </row>
    <row r="243" spans="1:6" x14ac:dyDescent="0.2">
      <c r="A243" s="130">
        <f t="shared" si="9"/>
        <v>18</v>
      </c>
      <c r="B243" s="5" t="s">
        <v>143</v>
      </c>
      <c r="C243" s="110" t="s">
        <v>302</v>
      </c>
      <c r="D243" s="3">
        <v>7</v>
      </c>
      <c r="E243" s="14">
        <v>134520</v>
      </c>
      <c r="F243" s="14">
        <f t="shared" si="8"/>
        <v>941640</v>
      </c>
    </row>
    <row r="244" spans="1:6" x14ac:dyDescent="0.2">
      <c r="A244" s="130">
        <f t="shared" si="9"/>
        <v>19</v>
      </c>
      <c r="B244" s="563" t="s">
        <v>123</v>
      </c>
      <c r="C244" s="9"/>
      <c r="D244" s="15"/>
      <c r="E244" s="14"/>
      <c r="F244" s="14" t="s">
        <v>0</v>
      </c>
    </row>
    <row r="245" spans="1:6" ht="25.5" x14ac:dyDescent="0.2">
      <c r="A245" s="130">
        <f t="shared" si="9"/>
        <v>20</v>
      </c>
      <c r="B245" s="5" t="s">
        <v>72</v>
      </c>
      <c r="C245" s="110" t="s">
        <v>302</v>
      </c>
      <c r="D245" s="3">
        <v>0.5</v>
      </c>
      <c r="E245" s="14">
        <v>562312</v>
      </c>
      <c r="F245" s="14">
        <f t="shared" si="8"/>
        <v>281156</v>
      </c>
    </row>
    <row r="246" spans="1:6" x14ac:dyDescent="0.2">
      <c r="A246" s="130">
        <f t="shared" si="9"/>
        <v>21</v>
      </c>
      <c r="B246" s="5" t="s">
        <v>124</v>
      </c>
      <c r="C246" s="110" t="s">
        <v>302</v>
      </c>
      <c r="D246" s="118">
        <v>5.5</v>
      </c>
      <c r="E246" s="14">
        <v>763644</v>
      </c>
      <c r="F246" s="14">
        <f t="shared" si="8"/>
        <v>4200042</v>
      </c>
    </row>
    <row r="247" spans="1:6" x14ac:dyDescent="0.2">
      <c r="A247" s="130">
        <f t="shared" si="9"/>
        <v>22</v>
      </c>
      <c r="B247" s="563" t="s">
        <v>74</v>
      </c>
      <c r="C247" s="9"/>
      <c r="D247" s="15"/>
      <c r="E247" s="14"/>
      <c r="F247" s="14" t="s">
        <v>0</v>
      </c>
    </row>
    <row r="248" spans="1:6" x14ac:dyDescent="0.2">
      <c r="A248" s="130">
        <f t="shared" si="9"/>
        <v>23</v>
      </c>
      <c r="B248" s="5" t="s">
        <v>135</v>
      </c>
      <c r="C248" s="110" t="s">
        <v>136</v>
      </c>
      <c r="D248" s="3">
        <v>18</v>
      </c>
      <c r="E248" s="14">
        <v>5484</v>
      </c>
      <c r="F248" s="14">
        <f t="shared" si="8"/>
        <v>98712</v>
      </c>
    </row>
    <row r="249" spans="1:6" ht="25.5" x14ac:dyDescent="0.2">
      <c r="A249" s="130">
        <f t="shared" si="9"/>
        <v>24</v>
      </c>
      <c r="B249" s="5" t="s">
        <v>137</v>
      </c>
      <c r="C249" s="2" t="s">
        <v>99</v>
      </c>
      <c r="D249" s="3">
        <v>1.25</v>
      </c>
      <c r="E249" s="14">
        <v>1351872</v>
      </c>
      <c r="F249" s="14">
        <f t="shared" si="8"/>
        <v>1689840</v>
      </c>
    </row>
    <row r="250" spans="1:6" x14ac:dyDescent="0.2">
      <c r="A250" s="130"/>
      <c r="B250" s="563" t="s">
        <v>30</v>
      </c>
      <c r="C250" s="7"/>
      <c r="D250" s="19"/>
      <c r="E250" s="565"/>
      <c r="F250" s="454">
        <f>ROUND(SUM(F227:F249),0)</f>
        <v>11749096</v>
      </c>
    </row>
    <row r="251" spans="1:6" x14ac:dyDescent="0.2">
      <c r="A251" s="12"/>
      <c r="B251" s="332"/>
      <c r="C251" s="12"/>
      <c r="D251" s="12"/>
      <c r="E251" s="12"/>
      <c r="F251" s="12"/>
    </row>
    <row r="252" spans="1:6" x14ac:dyDescent="0.2">
      <c r="A252" s="77" t="s">
        <v>77</v>
      </c>
      <c r="B252" s="109"/>
      <c r="C252" s="109"/>
      <c r="D252" s="109"/>
      <c r="E252" s="109"/>
      <c r="F252" s="82" t="s">
        <v>0</v>
      </c>
    </row>
    <row r="253" spans="1:6" x14ac:dyDescent="0.2">
      <c r="A253" s="77" t="s">
        <v>78</v>
      </c>
      <c r="B253" s="109"/>
      <c r="C253" s="109"/>
      <c r="D253" s="109"/>
      <c r="E253" s="109"/>
      <c r="F253" s="347">
        <f>ROUND(F250/1.3495,0)</f>
        <v>8706259</v>
      </c>
    </row>
    <row r="254" spans="1:6" x14ac:dyDescent="0.2">
      <c r="A254" s="77" t="s">
        <v>79</v>
      </c>
      <c r="B254" s="109"/>
      <c r="C254" s="109"/>
      <c r="D254" s="83">
        <v>0.24</v>
      </c>
      <c r="E254" s="109"/>
      <c r="F254" s="347">
        <f>ROUND(F253*D254,0)</f>
        <v>2089502</v>
      </c>
    </row>
    <row r="255" spans="1:6" x14ac:dyDescent="0.2">
      <c r="A255" s="77" t="s">
        <v>32</v>
      </c>
      <c r="B255" s="109"/>
      <c r="C255" s="109"/>
      <c r="D255" s="83">
        <v>0.05</v>
      </c>
      <c r="E255" s="109"/>
      <c r="F255" s="347">
        <f>ROUND(F253*D255,0)</f>
        <v>435313</v>
      </c>
    </row>
    <row r="256" spans="1:6" x14ac:dyDescent="0.2">
      <c r="A256" s="77" t="s">
        <v>80</v>
      </c>
      <c r="B256" s="85"/>
      <c r="C256" s="85"/>
      <c r="D256" s="83">
        <v>0.05</v>
      </c>
      <c r="E256" s="85"/>
      <c r="F256" s="347">
        <f>ROUND(F253*D256,0)</f>
        <v>435313</v>
      </c>
    </row>
    <row r="257" spans="1:6" x14ac:dyDescent="0.2">
      <c r="A257" s="77" t="s">
        <v>81</v>
      </c>
      <c r="B257" s="85"/>
      <c r="C257" s="85"/>
      <c r="D257" s="83"/>
      <c r="E257" s="85"/>
      <c r="F257" s="347">
        <f>ROUND(F253+F254+F255+F256,0)</f>
        <v>11666387</v>
      </c>
    </row>
    <row r="258" spans="1:6" x14ac:dyDescent="0.2">
      <c r="A258" s="77" t="s">
        <v>82</v>
      </c>
      <c r="B258" s="85"/>
      <c r="C258" s="85"/>
      <c r="D258" s="83">
        <v>0.19</v>
      </c>
      <c r="E258" s="85"/>
      <c r="F258" s="348">
        <f>ROUND(F256*D258,0)</f>
        <v>82709</v>
      </c>
    </row>
    <row r="259" spans="1:6" x14ac:dyDescent="0.2">
      <c r="A259" s="88" t="s">
        <v>83</v>
      </c>
      <c r="B259" s="88"/>
      <c r="C259" s="88"/>
      <c r="D259" s="88"/>
      <c r="E259" s="88"/>
      <c r="F259" s="111">
        <f>ROUND(SUM(F257+F258),0)</f>
        <v>11749096</v>
      </c>
    </row>
    <row r="262" spans="1:6" x14ac:dyDescent="0.2">
      <c r="A262" s="687" t="s">
        <v>569</v>
      </c>
      <c r="B262" s="687"/>
      <c r="C262" s="687"/>
      <c r="D262" s="687"/>
      <c r="E262" s="687"/>
      <c r="F262" s="687"/>
    </row>
    <row r="263" spans="1:6" x14ac:dyDescent="0.2">
      <c r="A263" s="685" t="s">
        <v>15</v>
      </c>
      <c r="B263" s="685" t="s">
        <v>16</v>
      </c>
      <c r="C263" s="685" t="s">
        <v>33</v>
      </c>
      <c r="D263" s="685" t="s">
        <v>34</v>
      </c>
      <c r="E263" s="685"/>
      <c r="F263" s="685"/>
    </row>
    <row r="264" spans="1:6" x14ac:dyDescent="0.2">
      <c r="A264" s="685"/>
      <c r="B264" s="685"/>
      <c r="C264" s="685"/>
      <c r="D264" s="7" t="s">
        <v>35</v>
      </c>
      <c r="E264" s="7" t="s">
        <v>36</v>
      </c>
      <c r="F264" s="7" t="s">
        <v>37</v>
      </c>
    </row>
    <row r="265" spans="1:6" x14ac:dyDescent="0.2">
      <c r="B265" s="8" t="s">
        <v>38</v>
      </c>
      <c r="C265" s="685"/>
      <c r="D265" s="685"/>
      <c r="E265" s="685"/>
      <c r="F265" s="9"/>
    </row>
    <row r="266" spans="1:6" ht="25.5" x14ac:dyDescent="0.2">
      <c r="A266" s="130">
        <v>1</v>
      </c>
      <c r="B266" s="5" t="s">
        <v>108</v>
      </c>
      <c r="C266" s="110" t="s">
        <v>22</v>
      </c>
      <c r="D266" s="562">
        <v>72</v>
      </c>
      <c r="E266" s="14">
        <v>4843</v>
      </c>
      <c r="F266" s="14">
        <f>ROUND(D266*E266,0)</f>
        <v>348696</v>
      </c>
    </row>
    <row r="267" spans="1:6" ht="25.5" x14ac:dyDescent="0.2">
      <c r="A267" s="130">
        <v>3</v>
      </c>
      <c r="B267" s="17" t="s">
        <v>18</v>
      </c>
      <c r="C267" s="2" t="s">
        <v>22</v>
      </c>
      <c r="D267" s="3">
        <v>168</v>
      </c>
      <c r="E267" s="13">
        <v>12600</v>
      </c>
      <c r="F267" s="14">
        <f t="shared" ref="F267:F291" si="10">ROUND(D267*E267,0)</f>
        <v>2116800</v>
      </c>
    </row>
    <row r="268" spans="1:6" x14ac:dyDescent="0.2">
      <c r="A268" s="10">
        <v>2</v>
      </c>
      <c r="B268" s="4" t="s">
        <v>19</v>
      </c>
      <c r="C268" s="110" t="s">
        <v>45</v>
      </c>
      <c r="D268" s="3">
        <v>2</v>
      </c>
      <c r="E268" s="14">
        <v>144273</v>
      </c>
      <c r="F268" s="14">
        <f t="shared" si="10"/>
        <v>288546</v>
      </c>
    </row>
    <row r="269" spans="1:6" x14ac:dyDescent="0.2">
      <c r="A269" s="130">
        <v>3</v>
      </c>
      <c r="B269" s="4" t="s">
        <v>110</v>
      </c>
      <c r="C269" s="110" t="s">
        <v>45</v>
      </c>
      <c r="D269" s="3">
        <v>1</v>
      </c>
      <c r="E269" s="14">
        <v>730341</v>
      </c>
      <c r="F269" s="14">
        <f t="shared" si="10"/>
        <v>730341</v>
      </c>
    </row>
    <row r="270" spans="1:6" x14ac:dyDescent="0.2">
      <c r="A270" s="10">
        <v>4</v>
      </c>
      <c r="B270" s="8" t="s">
        <v>48</v>
      </c>
      <c r="C270" s="9"/>
      <c r="D270" s="9"/>
      <c r="E270" s="568">
        <v>0</v>
      </c>
      <c r="F270" s="14" t="s">
        <v>0</v>
      </c>
    </row>
    <row r="271" spans="1:6" x14ac:dyDescent="0.2">
      <c r="A271" s="130">
        <v>5</v>
      </c>
      <c r="B271" s="1" t="s">
        <v>111</v>
      </c>
      <c r="C271" s="110" t="s">
        <v>22</v>
      </c>
      <c r="D271" s="118">
        <v>248</v>
      </c>
      <c r="E271" s="14">
        <v>7086</v>
      </c>
      <c r="F271" s="14">
        <f t="shared" si="10"/>
        <v>1757328</v>
      </c>
    </row>
    <row r="272" spans="1:6" ht="38.25" x14ac:dyDescent="0.2">
      <c r="A272" s="10">
        <v>6</v>
      </c>
      <c r="B272" s="5" t="s">
        <v>112</v>
      </c>
      <c r="C272" s="110" t="s">
        <v>302</v>
      </c>
      <c r="D272" s="118">
        <v>10</v>
      </c>
      <c r="E272" s="14">
        <v>77371</v>
      </c>
      <c r="F272" s="14">
        <f t="shared" si="10"/>
        <v>773710</v>
      </c>
    </row>
    <row r="273" spans="1:6" x14ac:dyDescent="0.2">
      <c r="A273" s="130">
        <v>7</v>
      </c>
      <c r="B273" s="8" t="s">
        <v>51</v>
      </c>
      <c r="C273" s="9"/>
      <c r="D273" s="9"/>
      <c r="E273" s="568">
        <v>0</v>
      </c>
      <c r="F273" s="14" t="s">
        <v>0</v>
      </c>
    </row>
    <row r="274" spans="1:6" x14ac:dyDescent="0.2">
      <c r="A274" s="10">
        <v>8</v>
      </c>
      <c r="B274" s="4" t="s">
        <v>113</v>
      </c>
      <c r="C274" s="110" t="s">
        <v>302</v>
      </c>
      <c r="D274" s="562">
        <v>46</v>
      </c>
      <c r="E274" s="14">
        <v>24440</v>
      </c>
      <c r="F274" s="14">
        <f t="shared" si="10"/>
        <v>1124240</v>
      </c>
    </row>
    <row r="275" spans="1:6" x14ac:dyDescent="0.2">
      <c r="A275" s="130">
        <v>9</v>
      </c>
      <c r="B275" s="4" t="s">
        <v>570</v>
      </c>
      <c r="C275" s="110" t="s">
        <v>302</v>
      </c>
      <c r="D275" s="562">
        <v>30</v>
      </c>
      <c r="E275" s="14">
        <v>30415</v>
      </c>
      <c r="F275" s="14">
        <f t="shared" si="10"/>
        <v>912450</v>
      </c>
    </row>
    <row r="276" spans="1:6" x14ac:dyDescent="0.2">
      <c r="A276" s="10">
        <v>10</v>
      </c>
      <c r="B276" s="8" t="s">
        <v>114</v>
      </c>
      <c r="C276" s="9"/>
      <c r="D276" s="9"/>
      <c r="E276" s="568">
        <v>0</v>
      </c>
      <c r="F276" s="14" t="s">
        <v>0</v>
      </c>
    </row>
    <row r="277" spans="1:6" x14ac:dyDescent="0.2">
      <c r="A277" s="130">
        <v>11</v>
      </c>
      <c r="B277" s="4" t="s">
        <v>201</v>
      </c>
      <c r="C277" s="110" t="s">
        <v>22</v>
      </c>
      <c r="D277" s="3">
        <v>72</v>
      </c>
      <c r="E277" s="14">
        <v>3670</v>
      </c>
      <c r="F277" s="14">
        <f t="shared" si="10"/>
        <v>264240</v>
      </c>
    </row>
    <row r="278" spans="1:6" ht="25.5" x14ac:dyDescent="0.2">
      <c r="A278" s="10">
        <v>12</v>
      </c>
      <c r="B278" s="5" t="s">
        <v>115</v>
      </c>
      <c r="C278" s="110" t="s">
        <v>116</v>
      </c>
      <c r="D278" s="3">
        <v>13</v>
      </c>
      <c r="E278" s="14">
        <v>38925</v>
      </c>
      <c r="F278" s="14">
        <f t="shared" si="10"/>
        <v>506025</v>
      </c>
    </row>
    <row r="279" spans="1:6" x14ac:dyDescent="0.2">
      <c r="A279" s="130">
        <v>13</v>
      </c>
      <c r="B279" s="18" t="s">
        <v>203</v>
      </c>
      <c r="C279" s="110" t="s">
        <v>116</v>
      </c>
      <c r="D279" s="3">
        <v>1</v>
      </c>
      <c r="E279" s="14">
        <v>194622</v>
      </c>
      <c r="F279" s="14">
        <f t="shared" si="10"/>
        <v>194622</v>
      </c>
    </row>
    <row r="280" spans="1:6" ht="38.25" x14ac:dyDescent="0.2">
      <c r="A280" s="10">
        <v>14</v>
      </c>
      <c r="B280" s="5" t="s">
        <v>646</v>
      </c>
      <c r="C280" s="110" t="s">
        <v>116</v>
      </c>
      <c r="D280" s="3">
        <v>1</v>
      </c>
      <c r="E280" s="14">
        <v>320000</v>
      </c>
      <c r="F280" s="14">
        <f t="shared" si="10"/>
        <v>320000</v>
      </c>
    </row>
    <row r="281" spans="1:6" x14ac:dyDescent="0.2">
      <c r="A281" s="130">
        <v>15</v>
      </c>
      <c r="B281" s="4" t="s">
        <v>142</v>
      </c>
      <c r="C281" s="110" t="s">
        <v>45</v>
      </c>
      <c r="D281" s="3">
        <v>2</v>
      </c>
      <c r="E281" s="14">
        <v>83274</v>
      </c>
      <c r="F281" s="14">
        <f t="shared" si="10"/>
        <v>166548</v>
      </c>
    </row>
    <row r="282" spans="1:6" x14ac:dyDescent="0.2">
      <c r="A282" s="10">
        <v>16</v>
      </c>
      <c r="B282" s="8" t="s">
        <v>120</v>
      </c>
      <c r="C282" s="9"/>
      <c r="D282" s="15"/>
      <c r="E282" s="568">
        <v>0</v>
      </c>
      <c r="F282" s="14">
        <f t="shared" si="10"/>
        <v>0</v>
      </c>
    </row>
    <row r="283" spans="1:6" x14ac:dyDescent="0.2">
      <c r="A283" s="130">
        <v>17</v>
      </c>
      <c r="B283" s="4" t="s">
        <v>25</v>
      </c>
      <c r="C283" s="110" t="s">
        <v>302</v>
      </c>
      <c r="D283" s="3">
        <v>7</v>
      </c>
      <c r="E283" s="14">
        <v>112055</v>
      </c>
      <c r="F283" s="14">
        <f t="shared" si="10"/>
        <v>784385</v>
      </c>
    </row>
    <row r="284" spans="1:6" x14ac:dyDescent="0.2">
      <c r="A284" s="10">
        <v>18</v>
      </c>
      <c r="B284" s="4" t="s">
        <v>121</v>
      </c>
      <c r="C284" s="110" t="s">
        <v>302</v>
      </c>
      <c r="D284" s="3">
        <v>26</v>
      </c>
      <c r="E284" s="14">
        <v>20533</v>
      </c>
      <c r="F284" s="14">
        <f t="shared" si="10"/>
        <v>533858</v>
      </c>
    </row>
    <row r="285" spans="1:6" x14ac:dyDescent="0.2">
      <c r="A285" s="130">
        <v>19</v>
      </c>
      <c r="B285" s="4" t="s">
        <v>143</v>
      </c>
      <c r="C285" s="110" t="s">
        <v>302</v>
      </c>
      <c r="D285" s="3">
        <v>13</v>
      </c>
      <c r="E285" s="14">
        <v>134520</v>
      </c>
      <c r="F285" s="14">
        <f t="shared" si="10"/>
        <v>1748760</v>
      </c>
    </row>
    <row r="286" spans="1:6" x14ac:dyDescent="0.2">
      <c r="A286" s="10">
        <v>20</v>
      </c>
      <c r="B286" s="8" t="s">
        <v>123</v>
      </c>
      <c r="C286" s="9"/>
      <c r="D286" s="15"/>
      <c r="E286" s="568" t="s">
        <v>0</v>
      </c>
      <c r="F286" s="14" t="s">
        <v>0</v>
      </c>
    </row>
    <row r="287" spans="1:6" ht="25.5" x14ac:dyDescent="0.2">
      <c r="A287" s="130">
        <v>21</v>
      </c>
      <c r="B287" s="5" t="s">
        <v>72</v>
      </c>
      <c r="C287" s="110" t="s">
        <v>302</v>
      </c>
      <c r="D287" s="3">
        <v>0.5</v>
      </c>
      <c r="E287" s="14">
        <v>562312</v>
      </c>
      <c r="F287" s="14">
        <f t="shared" si="10"/>
        <v>281156</v>
      </c>
    </row>
    <row r="288" spans="1:6" x14ac:dyDescent="0.2">
      <c r="A288" s="10">
        <v>22</v>
      </c>
      <c r="B288" s="4" t="s">
        <v>647</v>
      </c>
      <c r="C288" s="110" t="s">
        <v>302</v>
      </c>
      <c r="D288" s="3">
        <v>10</v>
      </c>
      <c r="E288" s="14">
        <v>763644</v>
      </c>
      <c r="F288" s="14">
        <f t="shared" si="10"/>
        <v>7636440</v>
      </c>
    </row>
    <row r="289" spans="1:6" x14ac:dyDescent="0.2">
      <c r="A289" s="130">
        <v>23</v>
      </c>
      <c r="B289" s="8" t="s">
        <v>74</v>
      </c>
      <c r="C289" s="9"/>
      <c r="D289" s="15"/>
      <c r="E289" s="568">
        <v>0</v>
      </c>
      <c r="F289" s="14" t="s">
        <v>0</v>
      </c>
    </row>
    <row r="290" spans="1:6" x14ac:dyDescent="0.2">
      <c r="A290" s="10">
        <v>24</v>
      </c>
      <c r="B290" s="4" t="s">
        <v>135</v>
      </c>
      <c r="C290" s="110" t="s">
        <v>136</v>
      </c>
      <c r="D290" s="3">
        <v>36</v>
      </c>
      <c r="E290" s="14">
        <v>5484</v>
      </c>
      <c r="F290" s="14">
        <f t="shared" si="10"/>
        <v>197424</v>
      </c>
    </row>
    <row r="291" spans="1:6" ht="25.5" x14ac:dyDescent="0.2">
      <c r="A291" s="130">
        <v>25</v>
      </c>
      <c r="B291" s="5" t="s">
        <v>137</v>
      </c>
      <c r="C291" s="2" t="s">
        <v>99</v>
      </c>
      <c r="D291" s="3">
        <v>1.25</v>
      </c>
      <c r="E291" s="14">
        <v>1351812</v>
      </c>
      <c r="F291" s="14">
        <f t="shared" si="10"/>
        <v>1689765</v>
      </c>
    </row>
    <row r="292" spans="1:6" x14ac:dyDescent="0.2">
      <c r="A292" s="130"/>
      <c r="B292" s="8" t="s">
        <v>30</v>
      </c>
      <c r="C292" s="7"/>
      <c r="D292" s="19"/>
      <c r="E292" s="20"/>
      <c r="F292" s="454">
        <f>ROUND(SUM(F266:F291),0)</f>
        <v>22375334</v>
      </c>
    </row>
    <row r="293" spans="1:6" x14ac:dyDescent="0.2">
      <c r="A293" s="130"/>
      <c r="B293" s="8"/>
      <c r="C293" s="7"/>
      <c r="D293" s="19"/>
      <c r="E293" s="20"/>
      <c r="F293" s="20"/>
    </row>
    <row r="294" spans="1:6" x14ac:dyDescent="0.2">
      <c r="A294" s="77" t="s">
        <v>77</v>
      </c>
      <c r="B294" s="109"/>
      <c r="C294" s="109"/>
      <c r="D294" s="109"/>
      <c r="E294" s="109"/>
      <c r="F294" s="82" t="s">
        <v>0</v>
      </c>
    </row>
    <row r="295" spans="1:6" x14ac:dyDescent="0.2">
      <c r="A295" s="77" t="s">
        <v>78</v>
      </c>
      <c r="B295" s="109"/>
      <c r="C295" s="109"/>
      <c r="D295" s="109"/>
      <c r="E295" s="109"/>
      <c r="F295" s="347">
        <f>ROUND(F292/1.3495,0)</f>
        <v>16580462</v>
      </c>
    </row>
    <row r="296" spans="1:6" x14ac:dyDescent="0.2">
      <c r="A296" s="77" t="s">
        <v>79</v>
      </c>
      <c r="B296" s="109"/>
      <c r="C296" s="109"/>
      <c r="D296" s="83">
        <v>0.24</v>
      </c>
      <c r="E296" s="109"/>
      <c r="F296" s="347">
        <f>ROUND(F295*D296,0)</f>
        <v>3979311</v>
      </c>
    </row>
    <row r="297" spans="1:6" x14ac:dyDescent="0.2">
      <c r="A297" s="77" t="s">
        <v>32</v>
      </c>
      <c r="B297" s="109"/>
      <c r="C297" s="109"/>
      <c r="D297" s="83">
        <v>0.05</v>
      </c>
      <c r="E297" s="109"/>
      <c r="F297" s="347">
        <f>ROUND(F295*D297,0)</f>
        <v>829023</v>
      </c>
    </row>
    <row r="298" spans="1:6" x14ac:dyDescent="0.2">
      <c r="A298" s="77" t="s">
        <v>80</v>
      </c>
      <c r="B298" s="85"/>
      <c r="C298" s="85"/>
      <c r="D298" s="83">
        <v>0.05</v>
      </c>
      <c r="E298" s="85"/>
      <c r="F298" s="347">
        <f>ROUND(F295*D298,0)</f>
        <v>829023</v>
      </c>
    </row>
    <row r="299" spans="1:6" x14ac:dyDescent="0.2">
      <c r="A299" s="77" t="s">
        <v>81</v>
      </c>
      <c r="B299" s="85"/>
      <c r="C299" s="85"/>
      <c r="D299" s="83"/>
      <c r="E299" s="85"/>
      <c r="F299" s="347">
        <f>ROUND(F295+F296+F297+F298,0)</f>
        <v>22217819</v>
      </c>
    </row>
    <row r="300" spans="1:6" x14ac:dyDescent="0.2">
      <c r="A300" s="77" t="s">
        <v>82</v>
      </c>
      <c r="B300" s="85"/>
      <c r="C300" s="85"/>
      <c r="D300" s="83">
        <v>0.19</v>
      </c>
      <c r="E300" s="85"/>
      <c r="F300" s="348">
        <f>ROUND(F298*D300,0)</f>
        <v>157514</v>
      </c>
    </row>
    <row r="301" spans="1:6" x14ac:dyDescent="0.2">
      <c r="A301" s="88" t="s">
        <v>83</v>
      </c>
      <c r="B301" s="88"/>
      <c r="C301" s="88"/>
      <c r="D301" s="88"/>
      <c r="E301" s="88"/>
      <c r="F301" s="111">
        <f>ROUND(SUM(F299+F300),0)</f>
        <v>22375333</v>
      </c>
    </row>
    <row r="304" spans="1:6" x14ac:dyDescent="0.2">
      <c r="A304" s="687" t="s">
        <v>571</v>
      </c>
      <c r="B304" s="687"/>
      <c r="C304" s="687"/>
      <c r="D304" s="687"/>
      <c r="E304" s="687"/>
      <c r="F304" s="687"/>
    </row>
    <row r="305" spans="1:6" x14ac:dyDescent="0.2">
      <c r="A305" s="685" t="s">
        <v>15</v>
      </c>
      <c r="B305" s="685" t="s">
        <v>16</v>
      </c>
      <c r="C305" s="685" t="s">
        <v>33</v>
      </c>
      <c r="D305" s="685" t="s">
        <v>34</v>
      </c>
      <c r="E305" s="685"/>
      <c r="F305" s="685"/>
    </row>
    <row r="306" spans="1:6" x14ac:dyDescent="0.2">
      <c r="A306" s="685"/>
      <c r="B306" s="685"/>
      <c r="C306" s="685"/>
      <c r="D306" s="7" t="s">
        <v>35</v>
      </c>
      <c r="E306" s="7" t="s">
        <v>36</v>
      </c>
      <c r="F306" s="7" t="s">
        <v>37</v>
      </c>
    </row>
    <row r="307" spans="1:6" x14ac:dyDescent="0.2">
      <c r="A307" s="130">
        <v>1</v>
      </c>
      <c r="B307" s="8" t="s">
        <v>38</v>
      </c>
      <c r="C307" s="685"/>
      <c r="D307" s="685"/>
      <c r="E307" s="685"/>
      <c r="F307" s="9"/>
    </row>
    <row r="308" spans="1:6" x14ac:dyDescent="0.2">
      <c r="A308" s="10">
        <v>2</v>
      </c>
      <c r="B308" s="4" t="s">
        <v>332</v>
      </c>
      <c r="C308" s="110" t="s">
        <v>22</v>
      </c>
      <c r="D308" s="562">
        <v>78</v>
      </c>
      <c r="E308" s="14">
        <v>4843</v>
      </c>
      <c r="F308" s="14">
        <f t="shared" ref="F308:F332" si="11">ROUND(D308*E308,0)</f>
        <v>377754</v>
      </c>
    </row>
    <row r="309" spans="1:6" ht="25.5" x14ac:dyDescent="0.2">
      <c r="A309" s="130">
        <v>3</v>
      </c>
      <c r="B309" s="17" t="s">
        <v>18</v>
      </c>
      <c r="C309" s="2" t="s">
        <v>22</v>
      </c>
      <c r="D309" s="3">
        <v>168</v>
      </c>
      <c r="E309" s="13">
        <v>12600</v>
      </c>
      <c r="F309" s="14">
        <f t="shared" si="11"/>
        <v>2116800</v>
      </c>
    </row>
    <row r="310" spans="1:6" x14ac:dyDescent="0.2">
      <c r="A310" s="10">
        <v>4</v>
      </c>
      <c r="B310" s="4" t="s">
        <v>19</v>
      </c>
      <c r="C310" s="110" t="s">
        <v>45</v>
      </c>
      <c r="D310" s="3">
        <v>2</v>
      </c>
      <c r="E310" s="14">
        <v>144273</v>
      </c>
      <c r="F310" s="14">
        <f t="shared" si="11"/>
        <v>288546</v>
      </c>
    </row>
    <row r="311" spans="1:6" x14ac:dyDescent="0.2">
      <c r="A311" s="130">
        <v>5</v>
      </c>
      <c r="B311" s="4" t="s">
        <v>20</v>
      </c>
      <c r="C311" s="110" t="s">
        <v>45</v>
      </c>
      <c r="D311" s="3">
        <v>1</v>
      </c>
      <c r="E311" s="14">
        <v>730341</v>
      </c>
      <c r="F311" s="14">
        <f t="shared" si="11"/>
        <v>730341</v>
      </c>
    </row>
    <row r="312" spans="1:6" x14ac:dyDescent="0.2">
      <c r="A312" s="10">
        <v>6</v>
      </c>
      <c r="B312" s="8" t="s">
        <v>48</v>
      </c>
      <c r="C312" s="9"/>
      <c r="D312" s="15"/>
      <c r="E312" s="14"/>
      <c r="F312" s="14" t="s">
        <v>0</v>
      </c>
    </row>
    <row r="313" spans="1:6" x14ac:dyDescent="0.2">
      <c r="A313" s="130">
        <v>7</v>
      </c>
      <c r="B313" s="1" t="s">
        <v>111</v>
      </c>
      <c r="C313" s="110" t="s">
        <v>22</v>
      </c>
      <c r="D313" s="3">
        <v>330</v>
      </c>
      <c r="E313" s="14">
        <v>7086</v>
      </c>
      <c r="F313" s="14">
        <f t="shared" si="11"/>
        <v>2338380</v>
      </c>
    </row>
    <row r="314" spans="1:6" ht="38.25" x14ac:dyDescent="0.2">
      <c r="A314" s="10">
        <v>8</v>
      </c>
      <c r="B314" s="17" t="s">
        <v>192</v>
      </c>
      <c r="C314" s="110" t="s">
        <v>302</v>
      </c>
      <c r="D314" s="3">
        <v>12</v>
      </c>
      <c r="E314" s="14">
        <v>77371</v>
      </c>
      <c r="F314" s="14">
        <f t="shared" si="11"/>
        <v>928452</v>
      </c>
    </row>
    <row r="315" spans="1:6" x14ac:dyDescent="0.2">
      <c r="A315" s="130">
        <v>9</v>
      </c>
      <c r="B315" s="8" t="s">
        <v>51</v>
      </c>
      <c r="C315" s="9"/>
      <c r="D315" s="15"/>
      <c r="E315" s="14"/>
      <c r="F315" s="14" t="s">
        <v>0</v>
      </c>
    </row>
    <row r="316" spans="1:6" x14ac:dyDescent="0.2">
      <c r="A316" s="10">
        <v>10</v>
      </c>
      <c r="B316" s="4" t="s">
        <v>147</v>
      </c>
      <c r="C316" s="110" t="s">
        <v>302</v>
      </c>
      <c r="D316" s="3">
        <v>44</v>
      </c>
      <c r="E316" s="14">
        <v>24440</v>
      </c>
      <c r="F316" s="14">
        <f t="shared" si="11"/>
        <v>1075360</v>
      </c>
    </row>
    <row r="317" spans="1:6" x14ac:dyDescent="0.2">
      <c r="A317" s="130">
        <v>11</v>
      </c>
      <c r="B317" s="4" t="s">
        <v>139</v>
      </c>
      <c r="C317" s="110" t="s">
        <v>302</v>
      </c>
      <c r="D317" s="3">
        <v>14</v>
      </c>
      <c r="E317" s="14">
        <v>27047</v>
      </c>
      <c r="F317" s="14">
        <f t="shared" si="11"/>
        <v>378658</v>
      </c>
    </row>
    <row r="318" spans="1:6" ht="25.5" x14ac:dyDescent="0.2">
      <c r="A318" s="10">
        <v>12</v>
      </c>
      <c r="B318" s="5" t="s">
        <v>384</v>
      </c>
      <c r="C318" s="110" t="s">
        <v>302</v>
      </c>
      <c r="D318" s="3">
        <v>33</v>
      </c>
      <c r="E318" s="14">
        <v>30415</v>
      </c>
      <c r="F318" s="14">
        <f t="shared" si="11"/>
        <v>1003695</v>
      </c>
    </row>
    <row r="319" spans="1:6" x14ac:dyDescent="0.2">
      <c r="A319" s="130">
        <v>13</v>
      </c>
      <c r="B319" s="8" t="s">
        <v>114</v>
      </c>
      <c r="C319" s="9"/>
      <c r="D319" s="15"/>
      <c r="E319" s="14"/>
      <c r="F319" s="14" t="s">
        <v>0</v>
      </c>
    </row>
    <row r="320" spans="1:6" x14ac:dyDescent="0.2">
      <c r="A320" s="10">
        <v>14</v>
      </c>
      <c r="B320" s="4" t="s">
        <v>572</v>
      </c>
      <c r="C320" s="110" t="s">
        <v>22</v>
      </c>
      <c r="D320" s="3">
        <v>78</v>
      </c>
      <c r="E320" s="14">
        <v>3670</v>
      </c>
      <c r="F320" s="14">
        <f t="shared" si="11"/>
        <v>286260</v>
      </c>
    </row>
    <row r="321" spans="1:6" ht="25.5" x14ac:dyDescent="0.2">
      <c r="A321" s="130">
        <v>15</v>
      </c>
      <c r="B321" s="5" t="s">
        <v>305</v>
      </c>
      <c r="C321" s="110" t="s">
        <v>116</v>
      </c>
      <c r="D321" s="3">
        <v>29</v>
      </c>
      <c r="E321" s="14">
        <v>38925</v>
      </c>
      <c r="F321" s="14">
        <f t="shared" si="11"/>
        <v>1128825</v>
      </c>
    </row>
    <row r="322" spans="1:6" x14ac:dyDescent="0.2">
      <c r="A322" s="10">
        <v>16</v>
      </c>
      <c r="B322" s="4" t="s">
        <v>309</v>
      </c>
      <c r="C322" s="110" t="s">
        <v>45</v>
      </c>
      <c r="D322" s="3">
        <v>2</v>
      </c>
      <c r="E322" s="14">
        <v>83874</v>
      </c>
      <c r="F322" s="14">
        <f t="shared" si="11"/>
        <v>167748</v>
      </c>
    </row>
    <row r="323" spans="1:6" x14ac:dyDescent="0.2">
      <c r="A323" s="130">
        <v>17</v>
      </c>
      <c r="B323" s="8" t="s">
        <v>120</v>
      </c>
      <c r="C323" s="9"/>
      <c r="D323" s="15"/>
      <c r="E323" s="14"/>
      <c r="F323" s="14" t="s">
        <v>0</v>
      </c>
    </row>
    <row r="324" spans="1:6" x14ac:dyDescent="0.2">
      <c r="A324" s="10">
        <v>18</v>
      </c>
      <c r="B324" s="4" t="s">
        <v>25</v>
      </c>
      <c r="C324" s="110" t="s">
        <v>302</v>
      </c>
      <c r="D324" s="3">
        <v>6</v>
      </c>
      <c r="E324" s="14">
        <v>112055</v>
      </c>
      <c r="F324" s="14">
        <f t="shared" si="11"/>
        <v>672330</v>
      </c>
    </row>
    <row r="325" spans="1:6" x14ac:dyDescent="0.2">
      <c r="A325" s="130">
        <v>19</v>
      </c>
      <c r="B325" s="4" t="s">
        <v>121</v>
      </c>
      <c r="C325" s="110" t="s">
        <v>302</v>
      </c>
      <c r="D325" s="3">
        <v>30</v>
      </c>
      <c r="E325" s="14">
        <v>20553</v>
      </c>
      <c r="F325" s="14">
        <f t="shared" si="11"/>
        <v>616590</v>
      </c>
    </row>
    <row r="326" spans="1:6" x14ac:dyDescent="0.2">
      <c r="A326" s="10">
        <v>20</v>
      </c>
      <c r="B326" s="4" t="s">
        <v>143</v>
      </c>
      <c r="C326" s="110" t="s">
        <v>302</v>
      </c>
      <c r="D326" s="3">
        <v>16</v>
      </c>
      <c r="E326" s="14">
        <v>134520</v>
      </c>
      <c r="F326" s="14">
        <f t="shared" si="11"/>
        <v>2152320</v>
      </c>
    </row>
    <row r="327" spans="1:6" x14ac:dyDescent="0.2">
      <c r="A327" s="130">
        <v>21</v>
      </c>
      <c r="B327" s="8" t="s">
        <v>123</v>
      </c>
      <c r="C327" s="9"/>
      <c r="D327" s="15"/>
      <c r="E327" s="14"/>
      <c r="F327" s="14" t="s">
        <v>0</v>
      </c>
    </row>
    <row r="328" spans="1:6" ht="25.5" x14ac:dyDescent="0.2">
      <c r="A328" s="10">
        <v>22</v>
      </c>
      <c r="B328" s="5" t="s">
        <v>154</v>
      </c>
      <c r="C328" s="110" t="s">
        <v>302</v>
      </c>
      <c r="D328" s="3">
        <v>1</v>
      </c>
      <c r="E328" s="14">
        <v>562312</v>
      </c>
      <c r="F328" s="14">
        <f t="shared" si="11"/>
        <v>562312</v>
      </c>
    </row>
    <row r="329" spans="1:6" x14ac:dyDescent="0.2">
      <c r="A329" s="130">
        <v>23</v>
      </c>
      <c r="B329" s="4" t="s">
        <v>124</v>
      </c>
      <c r="C329" s="110" t="s">
        <v>302</v>
      </c>
      <c r="D329" s="3">
        <v>12</v>
      </c>
      <c r="E329" s="14">
        <v>763644</v>
      </c>
      <c r="F329" s="14">
        <f t="shared" si="11"/>
        <v>9163728</v>
      </c>
    </row>
    <row r="330" spans="1:6" x14ac:dyDescent="0.2">
      <c r="A330" s="10">
        <v>24</v>
      </c>
      <c r="B330" s="8" t="s">
        <v>74</v>
      </c>
      <c r="C330" s="9"/>
      <c r="D330" s="15"/>
      <c r="E330" s="14"/>
      <c r="F330" s="14" t="s">
        <v>0</v>
      </c>
    </row>
    <row r="331" spans="1:6" x14ac:dyDescent="0.2">
      <c r="A331" s="130">
        <v>25</v>
      </c>
      <c r="B331" s="4" t="s">
        <v>171</v>
      </c>
      <c r="C331" s="110" t="s">
        <v>136</v>
      </c>
      <c r="D331" s="3">
        <v>30</v>
      </c>
      <c r="E331" s="14">
        <v>5484</v>
      </c>
      <c r="F331" s="14">
        <f t="shared" si="11"/>
        <v>164520</v>
      </c>
    </row>
    <row r="332" spans="1:6" ht="25.5" x14ac:dyDescent="0.2">
      <c r="A332" s="10">
        <v>26</v>
      </c>
      <c r="B332" s="5" t="s">
        <v>137</v>
      </c>
      <c r="C332" s="2" t="s">
        <v>99</v>
      </c>
      <c r="D332" s="3">
        <v>1.25</v>
      </c>
      <c r="E332" s="14">
        <v>1351872</v>
      </c>
      <c r="F332" s="14">
        <f t="shared" si="11"/>
        <v>1689840</v>
      </c>
    </row>
    <row r="333" spans="1:6" x14ac:dyDescent="0.2">
      <c r="A333" s="130"/>
      <c r="B333" s="8" t="s">
        <v>30</v>
      </c>
      <c r="C333" s="7"/>
      <c r="D333" s="19"/>
      <c r="E333" s="565"/>
      <c r="F333" s="454">
        <f>ROUND(SUM(F307:F332),0)</f>
        <v>25842459</v>
      </c>
    </row>
    <row r="334" spans="1:6" x14ac:dyDescent="0.2">
      <c r="A334" s="130"/>
      <c r="B334" s="8"/>
      <c r="C334" s="7"/>
      <c r="D334" s="19"/>
      <c r="E334" s="565"/>
      <c r="F334" s="20"/>
    </row>
    <row r="335" spans="1:6" x14ac:dyDescent="0.2">
      <c r="A335" s="77" t="s">
        <v>77</v>
      </c>
      <c r="B335" s="109"/>
      <c r="C335" s="109"/>
      <c r="D335" s="109"/>
      <c r="E335" s="109"/>
      <c r="F335" s="82" t="s">
        <v>0</v>
      </c>
    </row>
    <row r="336" spans="1:6" x14ac:dyDescent="0.2">
      <c r="A336" s="77" t="s">
        <v>78</v>
      </c>
      <c r="B336" s="109"/>
      <c r="C336" s="109"/>
      <c r="D336" s="109"/>
      <c r="E336" s="109"/>
      <c r="F336" s="347">
        <f>ROUND(F333/1.3495,0)</f>
        <v>19149655</v>
      </c>
    </row>
    <row r="337" spans="1:6" x14ac:dyDescent="0.2">
      <c r="A337" s="77" t="s">
        <v>79</v>
      </c>
      <c r="B337" s="109"/>
      <c r="C337" s="109"/>
      <c r="D337" s="83">
        <v>0.24</v>
      </c>
      <c r="E337" s="109"/>
      <c r="F337" s="347">
        <f>ROUND(F336*D337,0)</f>
        <v>4595917</v>
      </c>
    </row>
    <row r="338" spans="1:6" x14ac:dyDescent="0.2">
      <c r="A338" s="77" t="s">
        <v>32</v>
      </c>
      <c r="B338" s="109"/>
      <c r="C338" s="109"/>
      <c r="D338" s="83">
        <v>0.05</v>
      </c>
      <c r="E338" s="109"/>
      <c r="F338" s="347">
        <f>ROUND(F336*D338,0)</f>
        <v>957483</v>
      </c>
    </row>
    <row r="339" spans="1:6" x14ac:dyDescent="0.2">
      <c r="A339" s="77" t="s">
        <v>80</v>
      </c>
      <c r="B339" s="85"/>
      <c r="C339" s="85"/>
      <c r="D339" s="83">
        <v>0.05</v>
      </c>
      <c r="E339" s="85"/>
      <c r="F339" s="347">
        <f>ROUND(F336*D339,0)</f>
        <v>957483</v>
      </c>
    </row>
    <row r="340" spans="1:6" x14ac:dyDescent="0.2">
      <c r="A340" s="77" t="s">
        <v>81</v>
      </c>
      <c r="B340" s="85"/>
      <c r="C340" s="85"/>
      <c r="D340" s="83"/>
      <c r="E340" s="85"/>
      <c r="F340" s="347">
        <f>ROUND(F336+F337+F338+F339,0)</f>
        <v>25660538</v>
      </c>
    </row>
    <row r="341" spans="1:6" x14ac:dyDescent="0.2">
      <c r="A341" s="77" t="s">
        <v>82</v>
      </c>
      <c r="B341" s="85"/>
      <c r="C341" s="85"/>
      <c r="D341" s="83">
        <v>0.19</v>
      </c>
      <c r="E341" s="85"/>
      <c r="F341" s="348">
        <f>ROUND(F339*D341,0)</f>
        <v>181922</v>
      </c>
    </row>
    <row r="342" spans="1:6" x14ac:dyDescent="0.2">
      <c r="A342" s="88" t="s">
        <v>83</v>
      </c>
      <c r="B342" s="88"/>
      <c r="C342" s="88"/>
      <c r="D342" s="88"/>
      <c r="E342" s="88"/>
      <c r="F342" s="111">
        <f>ROUND(SUM(F340+F341),0)</f>
        <v>25842460</v>
      </c>
    </row>
    <row r="345" spans="1:6" x14ac:dyDescent="0.2">
      <c r="A345" s="687" t="s">
        <v>780</v>
      </c>
      <c r="B345" s="687"/>
      <c r="C345" s="687"/>
      <c r="D345" s="687"/>
      <c r="E345" s="687"/>
      <c r="F345" s="687"/>
    </row>
    <row r="346" spans="1:6" x14ac:dyDescent="0.2">
      <c r="A346" s="685" t="s">
        <v>15</v>
      </c>
      <c r="B346" s="685" t="s">
        <v>16</v>
      </c>
      <c r="C346" s="685" t="s">
        <v>33</v>
      </c>
      <c r="D346" s="685" t="s">
        <v>34</v>
      </c>
      <c r="E346" s="685"/>
      <c r="F346" s="685"/>
    </row>
    <row r="347" spans="1:6" x14ac:dyDescent="0.2">
      <c r="A347" s="685"/>
      <c r="B347" s="685"/>
      <c r="C347" s="685"/>
      <c r="D347" s="7" t="s">
        <v>35</v>
      </c>
      <c r="E347" s="7" t="s">
        <v>36</v>
      </c>
      <c r="F347" s="7" t="s">
        <v>37</v>
      </c>
    </row>
    <row r="348" spans="1:6" x14ac:dyDescent="0.2">
      <c r="A348" s="130">
        <v>1</v>
      </c>
      <c r="B348" s="8" t="s">
        <v>38</v>
      </c>
      <c r="C348" s="685"/>
      <c r="D348" s="685"/>
      <c r="E348" s="685"/>
      <c r="F348" s="9"/>
    </row>
    <row r="349" spans="1:6" x14ac:dyDescent="0.2">
      <c r="A349" s="10">
        <v>2</v>
      </c>
      <c r="B349" s="4" t="s">
        <v>332</v>
      </c>
      <c r="C349" s="110" t="s">
        <v>22</v>
      </c>
      <c r="D349" s="3">
        <v>402</v>
      </c>
      <c r="E349" s="14">
        <v>4843</v>
      </c>
      <c r="F349" s="14">
        <f t="shared" ref="F349:F369" si="12">D349*E349</f>
        <v>1946886</v>
      </c>
    </row>
    <row r="350" spans="1:6" x14ac:dyDescent="0.2">
      <c r="A350" s="130">
        <v>3</v>
      </c>
      <c r="B350" s="4" t="s">
        <v>20</v>
      </c>
      <c r="C350" s="110" t="s">
        <v>45</v>
      </c>
      <c r="D350" s="3">
        <v>1</v>
      </c>
      <c r="E350" s="14">
        <v>730341</v>
      </c>
      <c r="F350" s="14">
        <f t="shared" si="12"/>
        <v>730341</v>
      </c>
    </row>
    <row r="351" spans="1:6" x14ac:dyDescent="0.2">
      <c r="A351" s="10">
        <v>4</v>
      </c>
      <c r="B351" s="8" t="s">
        <v>48</v>
      </c>
      <c r="C351" s="9"/>
      <c r="D351" s="15"/>
      <c r="E351" s="14"/>
      <c r="F351" s="14" t="s">
        <v>0</v>
      </c>
    </row>
    <row r="352" spans="1:6" ht="38.25" x14ac:dyDescent="0.2">
      <c r="A352" s="130">
        <v>5</v>
      </c>
      <c r="B352" s="5" t="s">
        <v>192</v>
      </c>
      <c r="C352" s="110" t="s">
        <v>302</v>
      </c>
      <c r="D352" s="3">
        <v>1</v>
      </c>
      <c r="E352" s="14">
        <v>77371</v>
      </c>
      <c r="F352" s="14">
        <f t="shared" si="12"/>
        <v>77371</v>
      </c>
    </row>
    <row r="353" spans="1:6" x14ac:dyDescent="0.2">
      <c r="A353" s="10">
        <v>6</v>
      </c>
      <c r="B353" s="8" t="s">
        <v>51</v>
      </c>
      <c r="C353" s="9"/>
      <c r="D353" s="15"/>
      <c r="E353" s="14"/>
      <c r="F353" s="14" t="s">
        <v>0</v>
      </c>
    </row>
    <row r="354" spans="1:6" x14ac:dyDescent="0.2">
      <c r="A354" s="130">
        <v>7</v>
      </c>
      <c r="B354" s="4" t="s">
        <v>147</v>
      </c>
      <c r="C354" s="110" t="s">
        <v>302</v>
      </c>
      <c r="D354" s="3">
        <v>543</v>
      </c>
      <c r="E354" s="14">
        <v>24440</v>
      </c>
      <c r="F354" s="14">
        <f t="shared" si="12"/>
        <v>13270920</v>
      </c>
    </row>
    <row r="355" spans="1:6" x14ac:dyDescent="0.2">
      <c r="A355" s="10">
        <v>8</v>
      </c>
      <c r="B355" s="4" t="s">
        <v>26</v>
      </c>
      <c r="C355" s="110" t="s">
        <v>22</v>
      </c>
      <c r="D355" s="3">
        <v>10</v>
      </c>
      <c r="E355" s="14">
        <v>28910</v>
      </c>
      <c r="F355" s="14">
        <f t="shared" si="12"/>
        <v>289100</v>
      </c>
    </row>
    <row r="356" spans="1:6" x14ac:dyDescent="0.2">
      <c r="A356" s="130">
        <v>9</v>
      </c>
      <c r="B356" s="4" t="s">
        <v>601</v>
      </c>
      <c r="C356" s="110" t="s">
        <v>302</v>
      </c>
      <c r="D356" s="3">
        <v>40</v>
      </c>
      <c r="E356" s="14">
        <v>30415</v>
      </c>
      <c r="F356" s="14">
        <f t="shared" si="12"/>
        <v>1216600</v>
      </c>
    </row>
    <row r="357" spans="1:6" x14ac:dyDescent="0.2">
      <c r="A357" s="10">
        <v>10</v>
      </c>
      <c r="B357" s="8" t="s">
        <v>114</v>
      </c>
      <c r="C357" s="9"/>
      <c r="D357" s="15"/>
      <c r="E357" s="14"/>
      <c r="F357" s="14" t="s">
        <v>0</v>
      </c>
    </row>
    <row r="358" spans="1:6" ht="38.25" x14ac:dyDescent="0.2">
      <c r="A358" s="130">
        <v>11</v>
      </c>
      <c r="B358" s="5" t="s">
        <v>602</v>
      </c>
      <c r="C358" s="110" t="s">
        <v>22</v>
      </c>
      <c r="D358" s="3">
        <v>402</v>
      </c>
      <c r="E358" s="14">
        <v>30000</v>
      </c>
      <c r="F358" s="14">
        <f t="shared" si="12"/>
        <v>12060000</v>
      </c>
    </row>
    <row r="359" spans="1:6" ht="38.25" x14ac:dyDescent="0.2">
      <c r="A359" s="10">
        <v>12</v>
      </c>
      <c r="B359" s="5" t="s">
        <v>603</v>
      </c>
      <c r="C359" s="110" t="s">
        <v>116</v>
      </c>
      <c r="D359" s="3">
        <v>402</v>
      </c>
      <c r="E359" s="14">
        <v>40000</v>
      </c>
      <c r="F359" s="14">
        <f t="shared" si="12"/>
        <v>16080000</v>
      </c>
    </row>
    <row r="360" spans="1:6" ht="25.5" x14ac:dyDescent="0.2">
      <c r="A360" s="130">
        <v>13</v>
      </c>
      <c r="B360" s="5" t="s">
        <v>604</v>
      </c>
      <c r="C360" s="110" t="s">
        <v>116</v>
      </c>
      <c r="D360" s="3">
        <v>4</v>
      </c>
      <c r="E360" s="14">
        <v>250000</v>
      </c>
      <c r="F360" s="14">
        <f t="shared" si="12"/>
        <v>1000000</v>
      </c>
    </row>
    <row r="361" spans="1:6" x14ac:dyDescent="0.2">
      <c r="A361" s="10">
        <v>14</v>
      </c>
      <c r="B361" s="4" t="s">
        <v>605</v>
      </c>
      <c r="C361" s="110" t="s">
        <v>116</v>
      </c>
      <c r="D361" s="3">
        <v>4</v>
      </c>
      <c r="E361" s="14">
        <v>350000</v>
      </c>
      <c r="F361" s="14">
        <f t="shared" si="12"/>
        <v>1400000</v>
      </c>
    </row>
    <row r="362" spans="1:6" ht="38.25" x14ac:dyDescent="0.2">
      <c r="A362" s="130">
        <v>15</v>
      </c>
      <c r="B362" s="5" t="s">
        <v>606</v>
      </c>
      <c r="C362" s="110" t="s">
        <v>116</v>
      </c>
      <c r="D362" s="3">
        <v>4</v>
      </c>
      <c r="E362" s="14">
        <v>400000</v>
      </c>
      <c r="F362" s="14">
        <f t="shared" si="12"/>
        <v>1600000</v>
      </c>
    </row>
    <row r="363" spans="1:6" ht="51" x14ac:dyDescent="0.2">
      <c r="A363" s="10">
        <v>16</v>
      </c>
      <c r="B363" s="5" t="s">
        <v>781</v>
      </c>
      <c r="C363" s="110" t="s">
        <v>116</v>
      </c>
      <c r="D363" s="3">
        <v>1</v>
      </c>
      <c r="E363" s="14">
        <v>1750000</v>
      </c>
      <c r="F363" s="14">
        <f t="shared" si="12"/>
        <v>1750000</v>
      </c>
    </row>
    <row r="364" spans="1:6" ht="38.25" x14ac:dyDescent="0.2">
      <c r="A364" s="130">
        <v>17</v>
      </c>
      <c r="B364" s="5" t="s">
        <v>607</v>
      </c>
      <c r="C364" s="110" t="s">
        <v>116</v>
      </c>
      <c r="D364" s="3">
        <v>4</v>
      </c>
      <c r="E364" s="14">
        <v>250000</v>
      </c>
      <c r="F364" s="14">
        <f t="shared" si="12"/>
        <v>1000000</v>
      </c>
    </row>
    <row r="365" spans="1:6" x14ac:dyDescent="0.2">
      <c r="A365" s="10">
        <v>18</v>
      </c>
      <c r="B365" s="8" t="s">
        <v>120</v>
      </c>
      <c r="C365" s="9"/>
      <c r="D365" s="15"/>
      <c r="E365" s="14"/>
      <c r="F365" s="14" t="s">
        <v>0</v>
      </c>
    </row>
    <row r="366" spans="1:6" x14ac:dyDescent="0.2">
      <c r="A366" s="130">
        <v>19</v>
      </c>
      <c r="B366" s="5" t="s">
        <v>121</v>
      </c>
      <c r="C366" s="110" t="s">
        <v>302</v>
      </c>
      <c r="D366" s="3">
        <v>360</v>
      </c>
      <c r="E366" s="14">
        <v>20553</v>
      </c>
      <c r="F366" s="14">
        <f t="shared" si="12"/>
        <v>7399080</v>
      </c>
    </row>
    <row r="367" spans="1:6" ht="51" x14ac:dyDescent="0.2">
      <c r="A367" s="10">
        <v>20</v>
      </c>
      <c r="B367" s="5" t="s">
        <v>782</v>
      </c>
      <c r="C367" s="110" t="s">
        <v>116</v>
      </c>
      <c r="D367" s="3">
        <v>1</v>
      </c>
      <c r="E367" s="14">
        <v>1750000</v>
      </c>
      <c r="F367" s="14">
        <f t="shared" si="12"/>
        <v>1750000</v>
      </c>
    </row>
    <row r="368" spans="1:6" x14ac:dyDescent="0.2">
      <c r="A368" s="130">
        <v>21</v>
      </c>
      <c r="B368" s="8" t="s">
        <v>74</v>
      </c>
      <c r="C368" s="9"/>
      <c r="D368" s="15"/>
      <c r="E368" s="14"/>
      <c r="F368" s="14" t="s">
        <v>0</v>
      </c>
    </row>
    <row r="369" spans="1:6" ht="25.5" x14ac:dyDescent="0.2">
      <c r="A369" s="10">
        <v>22</v>
      </c>
      <c r="B369" s="5" t="s">
        <v>137</v>
      </c>
      <c r="C369" s="2" t="s">
        <v>99</v>
      </c>
      <c r="D369" s="3">
        <v>1.25</v>
      </c>
      <c r="E369" s="14">
        <v>1351872</v>
      </c>
      <c r="F369" s="14">
        <f t="shared" si="12"/>
        <v>1689840</v>
      </c>
    </row>
    <row r="370" spans="1:6" x14ac:dyDescent="0.2">
      <c r="A370" s="130"/>
      <c r="B370" s="695" t="s">
        <v>385</v>
      </c>
      <c r="C370" s="695"/>
      <c r="D370" s="695"/>
      <c r="E370" s="695"/>
      <c r="F370" s="454">
        <f>ROUND(SUM(F347:F369),0)</f>
        <v>63260138</v>
      </c>
    </row>
    <row r="371" spans="1:6" x14ac:dyDescent="0.2">
      <c r="A371" s="130"/>
      <c r="B371" s="628" t="s">
        <v>578</v>
      </c>
      <c r="C371" s="628"/>
      <c r="D371" s="628"/>
      <c r="E371" s="628"/>
      <c r="F371" s="347">
        <f>ROUND(F370/1.3495,0)</f>
        <v>46876723</v>
      </c>
    </row>
    <row r="372" spans="1:6" x14ac:dyDescent="0.2">
      <c r="A372" s="130"/>
      <c r="B372" s="628" t="s">
        <v>579</v>
      </c>
      <c r="C372" s="628"/>
      <c r="D372" s="628"/>
      <c r="E372" s="569">
        <v>0.24</v>
      </c>
      <c r="F372" s="347">
        <f>ROUND(F371*E372,0)</f>
        <v>11250414</v>
      </c>
    </row>
    <row r="373" spans="1:6" x14ac:dyDescent="0.2">
      <c r="A373" s="130"/>
      <c r="B373" s="628" t="s">
        <v>386</v>
      </c>
      <c r="C373" s="628"/>
      <c r="D373" s="628"/>
      <c r="E373" s="569">
        <v>0.05</v>
      </c>
      <c r="F373" s="347">
        <f>ROUND(F371*E373,0)</f>
        <v>2343836</v>
      </c>
    </row>
    <row r="374" spans="1:6" x14ac:dyDescent="0.2">
      <c r="A374" s="130"/>
      <c r="B374" s="628" t="s">
        <v>534</v>
      </c>
      <c r="C374" s="628"/>
      <c r="D374" s="628"/>
      <c r="E374" s="569">
        <v>0.05</v>
      </c>
      <c r="F374" s="347">
        <f>ROUND(F371*E374,0)</f>
        <v>2343836</v>
      </c>
    </row>
    <row r="375" spans="1:6" x14ac:dyDescent="0.2">
      <c r="A375" s="130"/>
      <c r="B375" s="628" t="s">
        <v>82</v>
      </c>
      <c r="C375" s="628"/>
      <c r="D375" s="628"/>
      <c r="E375" s="569">
        <v>0.19</v>
      </c>
      <c r="F375" s="347">
        <f>ROUND(F371+F372+F373+F374,0)</f>
        <v>62814809</v>
      </c>
    </row>
    <row r="376" spans="1:6" x14ac:dyDescent="0.2">
      <c r="A376" s="130"/>
      <c r="B376" s="628" t="s">
        <v>385</v>
      </c>
      <c r="C376" s="628"/>
      <c r="D376" s="628"/>
      <c r="E376" s="628"/>
      <c r="F376" s="348">
        <f>ROUND(F374*E375,0)</f>
        <v>445329</v>
      </c>
    </row>
    <row r="377" spans="1:6" x14ac:dyDescent="0.2">
      <c r="F377" s="111">
        <f>ROUND(SUM(F375+F376),0)</f>
        <v>63260138</v>
      </c>
    </row>
    <row r="379" spans="1:6" ht="40.5" customHeight="1" x14ac:dyDescent="0.2">
      <c r="A379" s="688" t="s">
        <v>608</v>
      </c>
      <c r="B379" s="689"/>
      <c r="C379" s="689"/>
      <c r="D379" s="689"/>
      <c r="E379" s="689"/>
      <c r="F379" s="689"/>
    </row>
    <row r="380" spans="1:6" x14ac:dyDescent="0.2">
      <c r="A380" s="690" t="s">
        <v>15</v>
      </c>
      <c r="B380" s="692" t="s">
        <v>16</v>
      </c>
      <c r="C380" s="694" t="s">
        <v>609</v>
      </c>
      <c r="D380" s="694"/>
      <c r="E380" s="694"/>
      <c r="F380" s="694"/>
    </row>
    <row r="381" spans="1:6" x14ac:dyDescent="0.2">
      <c r="A381" s="691"/>
      <c r="B381" s="693"/>
      <c r="C381" s="7" t="s">
        <v>17</v>
      </c>
      <c r="D381" s="7" t="s">
        <v>610</v>
      </c>
      <c r="E381" s="570" t="s">
        <v>537</v>
      </c>
      <c r="F381" s="570" t="s">
        <v>536</v>
      </c>
    </row>
    <row r="382" spans="1:6" ht="25.5" x14ac:dyDescent="0.2">
      <c r="A382" s="21">
        <v>1.1000000000000001</v>
      </c>
      <c r="B382" s="22" t="s">
        <v>611</v>
      </c>
      <c r="C382" s="21" t="s">
        <v>28</v>
      </c>
      <c r="D382" s="23">
        <v>2000</v>
      </c>
      <c r="E382" s="24">
        <v>1000</v>
      </c>
      <c r="F382" s="11">
        <f>ROUND(E382*D382,0)</f>
        <v>2000000</v>
      </c>
    </row>
    <row r="383" spans="1:6" ht="25.5" x14ac:dyDescent="0.2">
      <c r="A383" s="21">
        <v>1.4</v>
      </c>
      <c r="B383" s="22" t="s">
        <v>612</v>
      </c>
      <c r="C383" s="21" t="s">
        <v>33</v>
      </c>
      <c r="D383" s="23">
        <v>1</v>
      </c>
      <c r="E383" s="24">
        <v>695550</v>
      </c>
      <c r="F383" s="11">
        <f t="shared" ref="F383:F402" si="13">ROUND(E383*D383,0)</f>
        <v>695550</v>
      </c>
    </row>
    <row r="384" spans="1:6" x14ac:dyDescent="0.2">
      <c r="A384" s="21">
        <v>3</v>
      </c>
      <c r="B384" s="25" t="s">
        <v>613</v>
      </c>
      <c r="C384" s="21"/>
      <c r="D384" s="26"/>
      <c r="E384" s="24"/>
      <c r="F384" s="11" t="s">
        <v>0</v>
      </c>
    </row>
    <row r="385" spans="1:6" ht="25.5" x14ac:dyDescent="0.2">
      <c r="A385" s="21">
        <v>3.1</v>
      </c>
      <c r="B385" s="22" t="s">
        <v>614</v>
      </c>
      <c r="C385" s="21" t="s">
        <v>615</v>
      </c>
      <c r="D385" s="23">
        <v>480</v>
      </c>
      <c r="E385" s="24">
        <v>23250</v>
      </c>
      <c r="F385" s="11">
        <f t="shared" si="13"/>
        <v>11160000</v>
      </c>
    </row>
    <row r="386" spans="1:6" ht="25.5" x14ac:dyDescent="0.2">
      <c r="A386" s="21">
        <v>3.2</v>
      </c>
      <c r="B386" s="22" t="s">
        <v>616</v>
      </c>
      <c r="C386" s="21" t="s">
        <v>615</v>
      </c>
      <c r="D386" s="23">
        <v>85</v>
      </c>
      <c r="E386" s="24">
        <v>28950</v>
      </c>
      <c r="F386" s="11">
        <f t="shared" si="13"/>
        <v>2460750</v>
      </c>
    </row>
    <row r="387" spans="1:6" x14ac:dyDescent="0.2">
      <c r="A387" s="21">
        <v>4</v>
      </c>
      <c r="B387" s="25" t="s">
        <v>114</v>
      </c>
      <c r="C387" s="21"/>
      <c r="D387" s="26"/>
      <c r="E387" s="24"/>
      <c r="F387" s="11" t="s">
        <v>0</v>
      </c>
    </row>
    <row r="388" spans="1:6" x14ac:dyDescent="0.2">
      <c r="A388" s="21">
        <v>4.0999999999999996</v>
      </c>
      <c r="B388" s="22" t="s">
        <v>617</v>
      </c>
      <c r="C388" s="21" t="s">
        <v>28</v>
      </c>
      <c r="D388" s="26">
        <v>1392.6</v>
      </c>
      <c r="E388" s="24">
        <v>3490</v>
      </c>
      <c r="F388" s="11">
        <f t="shared" si="13"/>
        <v>4860174</v>
      </c>
    </row>
    <row r="389" spans="1:6" x14ac:dyDescent="0.2">
      <c r="A389" s="21" t="s">
        <v>618</v>
      </c>
      <c r="B389" s="22" t="s">
        <v>619</v>
      </c>
      <c r="C389" s="21" t="s">
        <v>28</v>
      </c>
      <c r="D389" s="26">
        <v>547.79999999999995</v>
      </c>
      <c r="E389" s="24">
        <v>1740</v>
      </c>
      <c r="F389" s="11">
        <f t="shared" si="13"/>
        <v>953172</v>
      </c>
    </row>
    <row r="390" spans="1:6" x14ac:dyDescent="0.2">
      <c r="A390" s="21">
        <v>4.3</v>
      </c>
      <c r="B390" s="22" t="s">
        <v>620</v>
      </c>
      <c r="C390" s="21" t="s">
        <v>33</v>
      </c>
      <c r="D390" s="23">
        <v>2</v>
      </c>
      <c r="E390" s="24">
        <v>62495</v>
      </c>
      <c r="F390" s="11">
        <f t="shared" si="13"/>
        <v>124990</v>
      </c>
    </row>
    <row r="391" spans="1:6" ht="25.5" x14ac:dyDescent="0.2">
      <c r="A391" s="21">
        <v>4.4000000000000004</v>
      </c>
      <c r="B391" s="22" t="s">
        <v>621</v>
      </c>
      <c r="C391" s="21" t="s">
        <v>33</v>
      </c>
      <c r="D391" s="23">
        <v>5</v>
      </c>
      <c r="E391" s="24">
        <v>850000</v>
      </c>
      <c r="F391" s="11">
        <f t="shared" si="13"/>
        <v>4250000</v>
      </c>
    </row>
    <row r="392" spans="1:6" x14ac:dyDescent="0.2">
      <c r="A392" s="21">
        <v>4.5</v>
      </c>
      <c r="B392" s="22" t="s">
        <v>622</v>
      </c>
      <c r="C392" s="21" t="s">
        <v>33</v>
      </c>
      <c r="D392" s="23">
        <v>1</v>
      </c>
      <c r="E392" s="24">
        <v>79850</v>
      </c>
      <c r="F392" s="11">
        <f t="shared" si="13"/>
        <v>79850</v>
      </c>
    </row>
    <row r="393" spans="1:6" x14ac:dyDescent="0.2">
      <c r="A393" s="21">
        <v>4.5999999999999996</v>
      </c>
      <c r="B393" s="22" t="s">
        <v>623</v>
      </c>
      <c r="C393" s="21" t="s">
        <v>17</v>
      </c>
      <c r="D393" s="23">
        <v>1</v>
      </c>
      <c r="E393" s="24">
        <v>62495</v>
      </c>
      <c r="F393" s="11">
        <f t="shared" si="13"/>
        <v>62495</v>
      </c>
    </row>
    <row r="394" spans="1:6" x14ac:dyDescent="0.2">
      <c r="A394" s="21">
        <v>4.7</v>
      </c>
      <c r="B394" s="22" t="s">
        <v>624</v>
      </c>
      <c r="C394" s="21" t="s">
        <v>17</v>
      </c>
      <c r="D394" s="23">
        <v>3</v>
      </c>
      <c r="E394" s="24">
        <v>37000</v>
      </c>
      <c r="F394" s="11">
        <f t="shared" si="13"/>
        <v>111000</v>
      </c>
    </row>
    <row r="395" spans="1:6" x14ac:dyDescent="0.2">
      <c r="A395" s="21">
        <v>5</v>
      </c>
      <c r="B395" s="25" t="s">
        <v>120</v>
      </c>
      <c r="C395" s="21"/>
      <c r="D395" s="23"/>
      <c r="E395" s="24"/>
      <c r="F395" s="11" t="s">
        <v>0</v>
      </c>
    </row>
    <row r="396" spans="1:6" x14ac:dyDescent="0.2">
      <c r="A396" s="21">
        <v>5.0999999999999996</v>
      </c>
      <c r="B396" s="22" t="s">
        <v>625</v>
      </c>
      <c r="C396" s="21" t="s">
        <v>615</v>
      </c>
      <c r="D396" s="23">
        <v>80</v>
      </c>
      <c r="E396" s="24">
        <v>106700</v>
      </c>
      <c r="F396" s="11">
        <f t="shared" si="13"/>
        <v>8536000</v>
      </c>
    </row>
    <row r="397" spans="1:6" ht="25.5" x14ac:dyDescent="0.2">
      <c r="A397" s="21">
        <v>5.2</v>
      </c>
      <c r="B397" s="22" t="s">
        <v>626</v>
      </c>
      <c r="C397" s="21" t="s">
        <v>615</v>
      </c>
      <c r="D397" s="23">
        <v>395</v>
      </c>
      <c r="E397" s="24">
        <v>19550</v>
      </c>
      <c r="F397" s="11">
        <f t="shared" si="13"/>
        <v>7722250</v>
      </c>
    </row>
    <row r="398" spans="1:6" x14ac:dyDescent="0.2">
      <c r="A398" s="21">
        <v>5.3</v>
      </c>
      <c r="B398" s="22" t="s">
        <v>627</v>
      </c>
      <c r="C398" s="21" t="s">
        <v>190</v>
      </c>
      <c r="D398" s="23">
        <f>2000*0.4*0.12</f>
        <v>96</v>
      </c>
      <c r="E398" s="24">
        <v>89950</v>
      </c>
      <c r="F398" s="11">
        <f t="shared" si="13"/>
        <v>8635200</v>
      </c>
    </row>
    <row r="399" spans="1:6" x14ac:dyDescent="0.2">
      <c r="A399" s="21">
        <v>6</v>
      </c>
      <c r="B399" s="25" t="s">
        <v>123</v>
      </c>
      <c r="C399" s="21"/>
      <c r="D399" s="23"/>
      <c r="E399" s="24"/>
      <c r="F399" s="11" t="s">
        <v>0</v>
      </c>
    </row>
    <row r="400" spans="1:6" x14ac:dyDescent="0.2">
      <c r="A400" s="21">
        <v>6.2</v>
      </c>
      <c r="B400" s="22" t="s">
        <v>628</v>
      </c>
      <c r="C400" s="21" t="s">
        <v>615</v>
      </c>
      <c r="D400" s="23">
        <v>1</v>
      </c>
      <c r="E400" s="24">
        <v>727250</v>
      </c>
      <c r="F400" s="11">
        <f t="shared" si="13"/>
        <v>727250</v>
      </c>
    </row>
    <row r="401" spans="1:6" x14ac:dyDescent="0.2">
      <c r="A401" s="21">
        <v>7</v>
      </c>
      <c r="B401" s="25" t="s">
        <v>556</v>
      </c>
      <c r="C401" s="21"/>
      <c r="D401" s="23"/>
      <c r="E401" s="24"/>
      <c r="F401" s="11" t="s">
        <v>0</v>
      </c>
    </row>
    <row r="402" spans="1:6" ht="25.5" x14ac:dyDescent="0.2">
      <c r="A402" s="21">
        <v>7.1</v>
      </c>
      <c r="B402" s="22" t="s">
        <v>629</v>
      </c>
      <c r="C402" s="21" t="s">
        <v>133</v>
      </c>
      <c r="D402" s="23">
        <v>1</v>
      </c>
      <c r="E402" s="24">
        <v>1287450</v>
      </c>
      <c r="F402" s="11">
        <f t="shared" si="13"/>
        <v>1287450</v>
      </c>
    </row>
    <row r="403" spans="1:6" x14ac:dyDescent="0.2">
      <c r="A403" s="333"/>
      <c r="B403" s="334" t="s">
        <v>30</v>
      </c>
      <c r="C403" s="333"/>
      <c r="D403" s="333"/>
      <c r="E403" s="333"/>
      <c r="F403" s="454">
        <f>ROUND(SUM(F380:F402),0)</f>
        <v>53666131</v>
      </c>
    </row>
    <row r="404" spans="1:6" x14ac:dyDescent="0.2">
      <c r="A404" s="333"/>
      <c r="B404" s="331" t="s">
        <v>30</v>
      </c>
      <c r="C404" s="331"/>
      <c r="D404" s="12"/>
      <c r="E404" s="571"/>
      <c r="F404" s="347">
        <f>ROUND(F403/1.3495,0)</f>
        <v>39767418</v>
      </c>
    </row>
    <row r="405" spans="1:6" x14ac:dyDescent="0.2">
      <c r="A405" s="333"/>
      <c r="B405" s="572" t="s">
        <v>439</v>
      </c>
      <c r="C405" s="572"/>
      <c r="D405" s="12"/>
      <c r="E405" s="569">
        <v>0.24</v>
      </c>
      <c r="F405" s="347">
        <f>ROUND(F404*E405,0)</f>
        <v>9544180</v>
      </c>
    </row>
    <row r="406" spans="1:6" x14ac:dyDescent="0.2">
      <c r="A406" s="333"/>
      <c r="B406" s="572" t="s">
        <v>32</v>
      </c>
      <c r="C406" s="572"/>
      <c r="D406" s="12"/>
      <c r="E406" s="569">
        <v>0.05</v>
      </c>
      <c r="F406" s="347">
        <f>ROUND(F404*E406,0)</f>
        <v>1988371</v>
      </c>
    </row>
    <row r="407" spans="1:6" x14ac:dyDescent="0.2">
      <c r="A407" s="333"/>
      <c r="B407" s="572" t="s">
        <v>440</v>
      </c>
      <c r="C407" s="572"/>
      <c r="D407" s="12"/>
      <c r="E407" s="569">
        <v>0.05</v>
      </c>
      <c r="F407" s="347">
        <f>ROUND(F404*E407,0)</f>
        <v>1988371</v>
      </c>
    </row>
    <row r="408" spans="1:6" x14ac:dyDescent="0.2">
      <c r="A408" s="333"/>
      <c r="B408" s="572" t="s">
        <v>630</v>
      </c>
      <c r="C408" s="572"/>
      <c r="D408" s="12"/>
      <c r="E408" s="569">
        <v>0.19</v>
      </c>
      <c r="F408" s="347">
        <f>ROUND(F407*E408,0)</f>
        <v>377790</v>
      </c>
    </row>
    <row r="409" spans="1:6" x14ac:dyDescent="0.2">
      <c r="A409" s="333"/>
      <c r="B409" s="333" t="s">
        <v>1</v>
      </c>
      <c r="C409" s="686" t="s">
        <v>0</v>
      </c>
      <c r="D409" s="686"/>
      <c r="E409" s="686"/>
      <c r="F409" s="348">
        <f>SUM(F404:F408)</f>
        <v>53666130</v>
      </c>
    </row>
    <row r="410" spans="1:6" x14ac:dyDescent="0.2">
      <c r="D410" s="686" t="s">
        <v>0</v>
      </c>
      <c r="E410" s="686"/>
      <c r="F410" s="686"/>
    </row>
    <row r="412" spans="1:6" x14ac:dyDescent="0.2">
      <c r="A412" s="687" t="s">
        <v>561</v>
      </c>
      <c r="B412" s="687"/>
      <c r="C412" s="687"/>
      <c r="D412" s="687"/>
      <c r="E412" s="687"/>
      <c r="F412" s="687"/>
    </row>
    <row r="413" spans="1:6" x14ac:dyDescent="0.2">
      <c r="A413" s="685" t="s">
        <v>15</v>
      </c>
      <c r="B413" s="685" t="s">
        <v>16</v>
      </c>
      <c r="C413" s="685" t="s">
        <v>33</v>
      </c>
      <c r="D413" s="685" t="s">
        <v>34</v>
      </c>
      <c r="E413" s="685"/>
      <c r="F413" s="685"/>
    </row>
    <row r="414" spans="1:6" x14ac:dyDescent="0.2">
      <c r="A414" s="685"/>
      <c r="B414" s="685"/>
      <c r="C414" s="685"/>
      <c r="D414" s="7" t="s">
        <v>35</v>
      </c>
      <c r="E414" s="7" t="s">
        <v>36</v>
      </c>
      <c r="F414" s="7" t="s">
        <v>37</v>
      </c>
    </row>
    <row r="415" spans="1:6" x14ac:dyDescent="0.2">
      <c r="A415" s="130">
        <v>1</v>
      </c>
      <c r="B415" s="8" t="s">
        <v>38</v>
      </c>
      <c r="C415" s="685"/>
      <c r="D415" s="685"/>
      <c r="E415" s="685"/>
      <c r="F415" s="9"/>
    </row>
    <row r="416" spans="1:6" ht="25.5" x14ac:dyDescent="0.2">
      <c r="A416" s="10">
        <v>2</v>
      </c>
      <c r="B416" s="5" t="s">
        <v>146</v>
      </c>
      <c r="C416" s="2" t="s">
        <v>22</v>
      </c>
      <c r="D416" s="3">
        <v>144</v>
      </c>
      <c r="E416" s="13">
        <v>4828</v>
      </c>
      <c r="F416" s="11">
        <f t="shared" ref="F416:F449" si="14">ROUND(E416*D416,0)</f>
        <v>695232</v>
      </c>
    </row>
    <row r="417" spans="1:6" x14ac:dyDescent="0.2">
      <c r="A417" s="130">
        <v>3</v>
      </c>
      <c r="B417" s="4" t="s">
        <v>191</v>
      </c>
      <c r="C417" s="2" t="s">
        <v>27</v>
      </c>
      <c r="D417" s="3">
        <v>864</v>
      </c>
      <c r="E417" s="13">
        <v>8377</v>
      </c>
      <c r="F417" s="11">
        <f t="shared" si="14"/>
        <v>7237728</v>
      </c>
    </row>
    <row r="418" spans="1:6" ht="25.5" x14ac:dyDescent="0.2">
      <c r="A418" s="10">
        <v>4</v>
      </c>
      <c r="B418" s="5" t="s">
        <v>18</v>
      </c>
      <c r="C418" s="2" t="s">
        <v>22</v>
      </c>
      <c r="D418" s="3">
        <v>300</v>
      </c>
      <c r="E418" s="13">
        <v>12600</v>
      </c>
      <c r="F418" s="11">
        <f t="shared" si="14"/>
        <v>3780000</v>
      </c>
    </row>
    <row r="419" spans="1:6" x14ac:dyDescent="0.2">
      <c r="A419" s="130">
        <v>5</v>
      </c>
      <c r="B419" s="4" t="s">
        <v>19</v>
      </c>
      <c r="C419" s="2" t="s">
        <v>45</v>
      </c>
      <c r="D419" s="3">
        <v>2</v>
      </c>
      <c r="E419" s="13">
        <v>143842</v>
      </c>
      <c r="F419" s="11">
        <f t="shared" si="14"/>
        <v>287684</v>
      </c>
    </row>
    <row r="420" spans="1:6" x14ac:dyDescent="0.2">
      <c r="A420" s="10">
        <v>6</v>
      </c>
      <c r="B420" s="4" t="s">
        <v>20</v>
      </c>
      <c r="C420" s="2" t="s">
        <v>45</v>
      </c>
      <c r="D420" s="3">
        <v>1</v>
      </c>
      <c r="E420" s="13">
        <v>728158</v>
      </c>
      <c r="F420" s="11">
        <f t="shared" si="14"/>
        <v>728158</v>
      </c>
    </row>
    <row r="421" spans="1:6" x14ac:dyDescent="0.2">
      <c r="A421" s="130">
        <v>7</v>
      </c>
      <c r="B421" s="8" t="s">
        <v>48</v>
      </c>
      <c r="C421" s="15"/>
      <c r="D421" s="15"/>
      <c r="E421" s="13"/>
      <c r="F421" s="11" t="s">
        <v>0</v>
      </c>
    </row>
    <row r="422" spans="1:6" x14ac:dyDescent="0.2">
      <c r="A422" s="10">
        <v>8</v>
      </c>
      <c r="B422" s="1" t="s">
        <v>111</v>
      </c>
      <c r="C422" s="2" t="s">
        <v>22</v>
      </c>
      <c r="D422" s="3">
        <v>576</v>
      </c>
      <c r="E422" s="13">
        <v>7065</v>
      </c>
      <c r="F422" s="11">
        <f t="shared" si="14"/>
        <v>4069440</v>
      </c>
    </row>
    <row r="423" spans="1:6" ht="38.25" x14ac:dyDescent="0.2">
      <c r="A423" s="130">
        <v>9</v>
      </c>
      <c r="B423" s="5" t="s">
        <v>192</v>
      </c>
      <c r="C423" s="2" t="s">
        <v>302</v>
      </c>
      <c r="D423" s="3">
        <v>44</v>
      </c>
      <c r="E423" s="13">
        <v>77141</v>
      </c>
      <c r="F423" s="11">
        <f t="shared" si="14"/>
        <v>3394204</v>
      </c>
    </row>
    <row r="424" spans="1:6" x14ac:dyDescent="0.2">
      <c r="A424" s="10">
        <v>10</v>
      </c>
      <c r="B424" s="8" t="s">
        <v>51</v>
      </c>
      <c r="C424" s="15"/>
      <c r="D424" s="15"/>
      <c r="E424" s="13"/>
      <c r="F424" s="11" t="s">
        <v>0</v>
      </c>
    </row>
    <row r="425" spans="1:6" x14ac:dyDescent="0.2">
      <c r="A425" s="130">
        <v>11</v>
      </c>
      <c r="B425" s="4" t="s">
        <v>147</v>
      </c>
      <c r="C425" s="2" t="s">
        <v>302</v>
      </c>
      <c r="D425" s="3">
        <v>469</v>
      </c>
      <c r="E425" s="13">
        <v>24368</v>
      </c>
      <c r="F425" s="11">
        <f t="shared" si="14"/>
        <v>11428592</v>
      </c>
    </row>
    <row r="426" spans="1:6" x14ac:dyDescent="0.2">
      <c r="A426" s="10">
        <v>12</v>
      </c>
      <c r="B426" s="4" t="s">
        <v>196</v>
      </c>
      <c r="C426" s="2" t="s">
        <v>302</v>
      </c>
      <c r="D426" s="3">
        <v>144</v>
      </c>
      <c r="E426" s="13">
        <v>28410</v>
      </c>
      <c r="F426" s="11">
        <f t="shared" si="14"/>
        <v>4091040</v>
      </c>
    </row>
    <row r="427" spans="1:6" x14ac:dyDescent="0.2">
      <c r="A427" s="130">
        <v>13</v>
      </c>
      <c r="B427" s="4" t="s">
        <v>686</v>
      </c>
      <c r="C427" s="2" t="s">
        <v>22</v>
      </c>
      <c r="D427" s="3">
        <v>144</v>
      </c>
      <c r="E427" s="13">
        <v>19900</v>
      </c>
      <c r="F427" s="11">
        <f t="shared" si="14"/>
        <v>2865600</v>
      </c>
    </row>
    <row r="428" spans="1:6" ht="25.5" x14ac:dyDescent="0.2">
      <c r="A428" s="10">
        <v>14</v>
      </c>
      <c r="B428" s="5" t="s">
        <v>21</v>
      </c>
      <c r="C428" s="2" t="s">
        <v>302</v>
      </c>
      <c r="D428" s="3">
        <v>150</v>
      </c>
      <c r="E428" s="13">
        <v>30324</v>
      </c>
      <c r="F428" s="11">
        <f t="shared" si="14"/>
        <v>4548600</v>
      </c>
    </row>
    <row r="429" spans="1:6" x14ac:dyDescent="0.2">
      <c r="A429" s="130">
        <v>15</v>
      </c>
      <c r="B429" s="8" t="s">
        <v>148</v>
      </c>
      <c r="C429" s="15"/>
      <c r="D429" s="15"/>
      <c r="E429" s="13"/>
      <c r="F429" s="11" t="s">
        <v>0</v>
      </c>
    </row>
    <row r="430" spans="1:6" ht="25.5" x14ac:dyDescent="0.2">
      <c r="A430" s="10">
        <v>16</v>
      </c>
      <c r="B430" s="17" t="s">
        <v>193</v>
      </c>
      <c r="C430" s="2" t="s">
        <v>22</v>
      </c>
      <c r="D430" s="3">
        <v>108</v>
      </c>
      <c r="E430" s="13">
        <v>22020</v>
      </c>
      <c r="F430" s="11">
        <f t="shared" si="14"/>
        <v>2378160</v>
      </c>
    </row>
    <row r="431" spans="1:6" ht="25.5" x14ac:dyDescent="0.2">
      <c r="A431" s="130">
        <v>17</v>
      </c>
      <c r="B431" s="17" t="s">
        <v>173</v>
      </c>
      <c r="C431" s="2" t="s">
        <v>22</v>
      </c>
      <c r="D431" s="3">
        <v>36</v>
      </c>
      <c r="E431" s="13">
        <v>25690</v>
      </c>
      <c r="F431" s="11">
        <f t="shared" si="14"/>
        <v>924840</v>
      </c>
    </row>
    <row r="432" spans="1:6" ht="38.25" x14ac:dyDescent="0.2">
      <c r="A432" s="10">
        <v>18</v>
      </c>
      <c r="B432" s="18" t="s">
        <v>149</v>
      </c>
      <c r="C432" s="2" t="s">
        <v>22</v>
      </c>
      <c r="D432" s="3">
        <v>1</v>
      </c>
      <c r="E432" s="13">
        <v>590196</v>
      </c>
      <c r="F432" s="11">
        <f t="shared" si="14"/>
        <v>590196</v>
      </c>
    </row>
    <row r="433" spans="1:6" ht="25.5" x14ac:dyDescent="0.2">
      <c r="A433" s="130">
        <v>19</v>
      </c>
      <c r="B433" s="5" t="s">
        <v>150</v>
      </c>
      <c r="C433" s="2" t="s">
        <v>116</v>
      </c>
      <c r="D433" s="3">
        <v>4</v>
      </c>
      <c r="E433" s="13">
        <v>550000</v>
      </c>
      <c r="F433" s="11">
        <f t="shared" si="14"/>
        <v>2200000</v>
      </c>
    </row>
    <row r="434" spans="1:6" x14ac:dyDescent="0.2">
      <c r="A434" s="10">
        <v>20</v>
      </c>
      <c r="B434" s="4" t="s">
        <v>151</v>
      </c>
      <c r="C434" s="2" t="s">
        <v>116</v>
      </c>
      <c r="D434" s="3">
        <v>4</v>
      </c>
      <c r="E434" s="13">
        <v>500414</v>
      </c>
      <c r="F434" s="11">
        <f t="shared" si="14"/>
        <v>2001656</v>
      </c>
    </row>
    <row r="435" spans="1:6" ht="25.5" x14ac:dyDescent="0.2">
      <c r="A435" s="130">
        <v>21</v>
      </c>
      <c r="B435" s="5" t="s">
        <v>23</v>
      </c>
      <c r="C435" s="2" t="s">
        <v>22</v>
      </c>
      <c r="D435" s="3">
        <v>144</v>
      </c>
      <c r="E435" s="13">
        <v>12780</v>
      </c>
      <c r="F435" s="11">
        <f t="shared" si="14"/>
        <v>1840320</v>
      </c>
    </row>
    <row r="436" spans="1:6" ht="25.5" x14ac:dyDescent="0.2">
      <c r="A436" s="10">
        <v>22</v>
      </c>
      <c r="B436" s="5" t="s">
        <v>24</v>
      </c>
      <c r="C436" s="2" t="s">
        <v>45</v>
      </c>
      <c r="D436" s="3">
        <v>36</v>
      </c>
      <c r="E436" s="13">
        <v>370202</v>
      </c>
      <c r="F436" s="11">
        <f t="shared" si="14"/>
        <v>13327272</v>
      </c>
    </row>
    <row r="437" spans="1:6" x14ac:dyDescent="0.2">
      <c r="A437" s="130">
        <v>23</v>
      </c>
      <c r="B437" s="4" t="s">
        <v>194</v>
      </c>
      <c r="C437" s="2" t="s">
        <v>45</v>
      </c>
      <c r="D437" s="3">
        <v>30</v>
      </c>
      <c r="E437" s="13">
        <v>40262</v>
      </c>
      <c r="F437" s="11">
        <f t="shared" si="14"/>
        <v>1207860</v>
      </c>
    </row>
    <row r="438" spans="1:6" x14ac:dyDescent="0.2">
      <c r="A438" s="10">
        <v>24</v>
      </c>
      <c r="B438" s="4" t="s">
        <v>562</v>
      </c>
      <c r="C438" s="2" t="s">
        <v>45</v>
      </c>
      <c r="D438" s="3">
        <v>6</v>
      </c>
      <c r="E438" s="13">
        <v>45544</v>
      </c>
      <c r="F438" s="11">
        <f t="shared" si="14"/>
        <v>273264</v>
      </c>
    </row>
    <row r="439" spans="1:6" x14ac:dyDescent="0.2">
      <c r="A439" s="130">
        <v>25</v>
      </c>
      <c r="B439" s="4" t="s">
        <v>563</v>
      </c>
      <c r="C439" s="2" t="s">
        <v>45</v>
      </c>
      <c r="D439" s="3">
        <v>10</v>
      </c>
      <c r="E439" s="13">
        <v>83623</v>
      </c>
      <c r="F439" s="11">
        <f t="shared" si="14"/>
        <v>836230</v>
      </c>
    </row>
    <row r="440" spans="1:6" x14ac:dyDescent="0.2">
      <c r="A440" s="10">
        <v>26</v>
      </c>
      <c r="B440" s="8" t="s">
        <v>120</v>
      </c>
      <c r="C440" s="15"/>
      <c r="D440" s="15"/>
      <c r="E440" s="13"/>
      <c r="F440" s="11">
        <f t="shared" si="14"/>
        <v>0</v>
      </c>
    </row>
    <row r="441" spans="1:6" x14ac:dyDescent="0.2">
      <c r="A441" s="130">
        <v>27</v>
      </c>
      <c r="B441" s="4" t="s">
        <v>25</v>
      </c>
      <c r="C441" s="2" t="s">
        <v>302</v>
      </c>
      <c r="D441" s="3">
        <v>30</v>
      </c>
      <c r="E441" s="13">
        <v>111720</v>
      </c>
      <c r="F441" s="11">
        <f t="shared" si="14"/>
        <v>3351600</v>
      </c>
    </row>
    <row r="442" spans="1:6" x14ac:dyDescent="0.2">
      <c r="A442" s="10">
        <v>28</v>
      </c>
      <c r="B442" s="4" t="s">
        <v>121</v>
      </c>
      <c r="C442" s="2" t="s">
        <v>302</v>
      </c>
      <c r="D442" s="3">
        <v>508</v>
      </c>
      <c r="E442" s="13">
        <v>20492</v>
      </c>
      <c r="F442" s="11">
        <f t="shared" si="14"/>
        <v>10409936</v>
      </c>
    </row>
    <row r="443" spans="1:6" x14ac:dyDescent="0.2">
      <c r="A443" s="130">
        <v>29</v>
      </c>
      <c r="B443" s="4" t="s">
        <v>153</v>
      </c>
      <c r="C443" s="2" t="s">
        <v>302</v>
      </c>
      <c r="D443" s="3">
        <v>60</v>
      </c>
      <c r="E443" s="13">
        <v>134118</v>
      </c>
      <c r="F443" s="11">
        <f t="shared" si="14"/>
        <v>8047080</v>
      </c>
    </row>
    <row r="444" spans="1:6" x14ac:dyDescent="0.2">
      <c r="A444" s="10">
        <v>30</v>
      </c>
      <c r="B444" s="8" t="s">
        <v>123</v>
      </c>
      <c r="C444" s="15"/>
      <c r="D444" s="15"/>
      <c r="E444" s="13"/>
      <c r="F444" s="11" t="s">
        <v>0</v>
      </c>
    </row>
    <row r="445" spans="1:6" ht="25.5" x14ac:dyDescent="0.2">
      <c r="A445" s="130">
        <v>31</v>
      </c>
      <c r="B445" s="5" t="s">
        <v>154</v>
      </c>
      <c r="C445" s="2" t="s">
        <v>302</v>
      </c>
      <c r="D445" s="3">
        <v>4</v>
      </c>
      <c r="E445" s="13">
        <v>560630</v>
      </c>
      <c r="F445" s="11">
        <f t="shared" si="14"/>
        <v>2242520</v>
      </c>
    </row>
    <row r="446" spans="1:6" ht="25.5" x14ac:dyDescent="0.2">
      <c r="A446" s="10">
        <v>32</v>
      </c>
      <c r="B446" s="5" t="s">
        <v>195</v>
      </c>
      <c r="C446" s="2" t="s">
        <v>302</v>
      </c>
      <c r="D446" s="3">
        <v>36</v>
      </c>
      <c r="E446" s="13">
        <v>761360</v>
      </c>
      <c r="F446" s="11">
        <f t="shared" si="14"/>
        <v>27408960</v>
      </c>
    </row>
    <row r="447" spans="1:6" x14ac:dyDescent="0.2">
      <c r="A447" s="130">
        <v>33</v>
      </c>
      <c r="B447" s="8" t="s">
        <v>74</v>
      </c>
      <c r="C447" s="15"/>
      <c r="D447" s="15"/>
      <c r="E447" s="13"/>
      <c r="F447" s="11" t="s">
        <v>0</v>
      </c>
    </row>
    <row r="448" spans="1:6" x14ac:dyDescent="0.2">
      <c r="A448" s="10">
        <v>34</v>
      </c>
      <c r="B448" s="4" t="s">
        <v>171</v>
      </c>
      <c r="C448" s="2" t="s">
        <v>136</v>
      </c>
      <c r="D448" s="3">
        <v>60</v>
      </c>
      <c r="E448" s="13">
        <v>5484</v>
      </c>
      <c r="F448" s="11">
        <f t="shared" si="14"/>
        <v>329040</v>
      </c>
    </row>
    <row r="449" spans="1:6" ht="25.5" x14ac:dyDescent="0.2">
      <c r="A449" s="130">
        <v>35</v>
      </c>
      <c r="B449" s="5" t="s">
        <v>137</v>
      </c>
      <c r="C449" s="2" t="s">
        <v>99</v>
      </c>
      <c r="D449" s="3">
        <v>1.25</v>
      </c>
      <c r="E449" s="13">
        <v>1549205</v>
      </c>
      <c r="F449" s="11">
        <f t="shared" si="14"/>
        <v>1936506</v>
      </c>
    </row>
    <row r="450" spans="1:6" x14ac:dyDescent="0.2">
      <c r="A450" s="130"/>
      <c r="B450" s="8" t="s">
        <v>30</v>
      </c>
      <c r="C450" s="7"/>
      <c r="D450" s="19"/>
      <c r="E450" s="20"/>
      <c r="F450" s="454">
        <f>ROUND(SUM(F416:F449),0)</f>
        <v>122431718</v>
      </c>
    </row>
    <row r="451" spans="1:6" x14ac:dyDescent="0.2">
      <c r="B451" s="17" t="s">
        <v>31</v>
      </c>
      <c r="C451" s="131"/>
      <c r="D451" s="573"/>
      <c r="E451" s="574"/>
      <c r="F451" s="347">
        <f>ROUND(F450/1.3495,0)</f>
        <v>90723763</v>
      </c>
    </row>
    <row r="452" spans="1:6" x14ac:dyDescent="0.2">
      <c r="B452" s="17" t="s">
        <v>439</v>
      </c>
      <c r="C452" s="131"/>
      <c r="D452" s="569">
        <v>0.24</v>
      </c>
      <c r="E452" s="574"/>
      <c r="F452" s="347">
        <f>ROUND(F451*D452,0)</f>
        <v>21773703</v>
      </c>
    </row>
    <row r="453" spans="1:6" x14ac:dyDescent="0.2">
      <c r="B453" s="17" t="s">
        <v>32</v>
      </c>
      <c r="C453" s="131"/>
      <c r="D453" s="569">
        <v>0.05</v>
      </c>
      <c r="E453" s="574"/>
      <c r="F453" s="347">
        <f>ROUND(F451*D453,0)</f>
        <v>4536188</v>
      </c>
    </row>
    <row r="454" spans="1:6" x14ac:dyDescent="0.2">
      <c r="B454" s="17" t="s">
        <v>440</v>
      </c>
      <c r="C454" s="131"/>
      <c r="D454" s="569">
        <v>0.05</v>
      </c>
      <c r="E454" s="574"/>
      <c r="F454" s="347">
        <f>ROUND(F451*D454,0)</f>
        <v>4536188</v>
      </c>
    </row>
    <row r="455" spans="1:6" x14ac:dyDescent="0.2">
      <c r="B455" s="17" t="s">
        <v>559</v>
      </c>
      <c r="C455" s="131"/>
      <c r="D455" s="569">
        <v>0.19</v>
      </c>
      <c r="E455" s="574"/>
      <c r="F455" s="347">
        <f>ROUND(F454*D455,0)</f>
        <v>861876</v>
      </c>
    </row>
    <row r="456" spans="1:6" x14ac:dyDescent="0.2">
      <c r="B456" s="17" t="s">
        <v>1</v>
      </c>
      <c r="C456" s="131"/>
      <c r="D456" s="575"/>
      <c r="E456" s="574"/>
      <c r="F456" s="348">
        <f>SUM(F451:F455)</f>
        <v>122431718</v>
      </c>
    </row>
    <row r="461" spans="1:6" x14ac:dyDescent="0.2">
      <c r="B461" s="238" t="s">
        <v>769</v>
      </c>
      <c r="D461" s="582">
        <f>F39+F85+F132+F172+F211+F250+F292+F333</f>
        <v>277120709</v>
      </c>
    </row>
    <row r="462" spans="1:6" x14ac:dyDescent="0.2">
      <c r="B462" s="238" t="s">
        <v>770</v>
      </c>
      <c r="D462" s="582">
        <f>F370+F403</f>
        <v>116926269</v>
      </c>
    </row>
    <row r="463" spans="1:6" x14ac:dyDescent="0.2">
      <c r="B463" s="238" t="s">
        <v>771</v>
      </c>
      <c r="D463" s="582">
        <f>F450</f>
        <v>122431718</v>
      </c>
    </row>
    <row r="464" spans="1:6" x14ac:dyDescent="0.2">
      <c r="B464" s="238"/>
      <c r="D464" s="583"/>
    </row>
    <row r="465" spans="2:4" x14ac:dyDescent="0.2">
      <c r="B465" s="238" t="s">
        <v>772</v>
      </c>
      <c r="D465" s="582">
        <f>SUM(D461:D464)</f>
        <v>516478696</v>
      </c>
    </row>
  </sheetData>
  <mergeCells count="74">
    <mergeCell ref="C307:E307"/>
    <mergeCell ref="C265:E265"/>
    <mergeCell ref="A304:F304"/>
    <mergeCell ref="A305:A306"/>
    <mergeCell ref="B305:B306"/>
    <mergeCell ref="C305:C306"/>
    <mergeCell ref="D305:F305"/>
    <mergeCell ref="C226:E226"/>
    <mergeCell ref="A262:F262"/>
    <mergeCell ref="A263:A264"/>
    <mergeCell ref="B263:B264"/>
    <mergeCell ref="C263:C264"/>
    <mergeCell ref="D263:F263"/>
    <mergeCell ref="C187:E187"/>
    <mergeCell ref="A223:F223"/>
    <mergeCell ref="A224:A225"/>
    <mergeCell ref="B224:B225"/>
    <mergeCell ref="C224:C225"/>
    <mergeCell ref="D224:F224"/>
    <mergeCell ref="C148:E148"/>
    <mergeCell ref="A184:F184"/>
    <mergeCell ref="A185:A186"/>
    <mergeCell ref="B185:B186"/>
    <mergeCell ref="C185:C186"/>
    <mergeCell ref="D185:F185"/>
    <mergeCell ref="C99:E99"/>
    <mergeCell ref="A145:F145"/>
    <mergeCell ref="A146:A147"/>
    <mergeCell ref="B146:B147"/>
    <mergeCell ref="C146:C147"/>
    <mergeCell ref="D146:F146"/>
    <mergeCell ref="C53:E53"/>
    <mergeCell ref="A96:F96"/>
    <mergeCell ref="A97:A98"/>
    <mergeCell ref="B97:B98"/>
    <mergeCell ref="C97:C98"/>
    <mergeCell ref="D97:F97"/>
    <mergeCell ref="C7:E7"/>
    <mergeCell ref="A50:F50"/>
    <mergeCell ref="A51:A52"/>
    <mergeCell ref="B51:B52"/>
    <mergeCell ref="C51:C52"/>
    <mergeCell ref="D51:F51"/>
    <mergeCell ref="B2:F2"/>
    <mergeCell ref="A4:F4"/>
    <mergeCell ref="A5:A6"/>
    <mergeCell ref="B5:B6"/>
    <mergeCell ref="C5:C6"/>
    <mergeCell ref="D5:F5"/>
    <mergeCell ref="A345:F345"/>
    <mergeCell ref="A346:A347"/>
    <mergeCell ref="B346:B347"/>
    <mergeCell ref="C346:C347"/>
    <mergeCell ref="D346:F346"/>
    <mergeCell ref="C348:E348"/>
    <mergeCell ref="B370:E370"/>
    <mergeCell ref="B371:E371"/>
    <mergeCell ref="B372:D372"/>
    <mergeCell ref="B373:D373"/>
    <mergeCell ref="B374:D374"/>
    <mergeCell ref="B375:D375"/>
    <mergeCell ref="B376:E376"/>
    <mergeCell ref="A379:F379"/>
    <mergeCell ref="A380:A381"/>
    <mergeCell ref="B380:B381"/>
    <mergeCell ref="C380:F380"/>
    <mergeCell ref="C415:E415"/>
    <mergeCell ref="C409:E409"/>
    <mergeCell ref="A412:F412"/>
    <mergeCell ref="A413:A414"/>
    <mergeCell ref="B413:B414"/>
    <mergeCell ref="C413:C414"/>
    <mergeCell ref="D413:F413"/>
    <mergeCell ref="D410:F410"/>
  </mergeCells>
  <printOptions horizontalCentered="1" verticalCentered="1"/>
  <pageMargins left="0.70866141732283472" right="0.70866141732283472" top="0.27559055118110237" bottom="0.31496062992125984" header="0.31496062992125984" footer="0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GRUPO I CHINCHINA  ARAUCA KM41 </vt:lpstr>
      <vt:lpstr> GRUPO II BELALCAZAR Y ANSERMA </vt:lpstr>
      <vt:lpstr>GRUPO III DORADA VICTORIA SAMAN</vt:lpstr>
      <vt:lpstr>GRUPO IV RIOSUCIO SUPIA </vt:lpstr>
      <vt:lpstr>GRUPO V AGUADAS NEIRA SALAMINA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GGallo</dc:creator>
  <cp:lastModifiedBy>Gloria Carmenza Gallo</cp:lastModifiedBy>
  <cp:lastPrinted>2018-02-16T20:03:28Z</cp:lastPrinted>
  <dcterms:created xsi:type="dcterms:W3CDTF">2017-11-17T16:55:38Z</dcterms:created>
  <dcterms:modified xsi:type="dcterms:W3CDTF">2018-05-18T13:28:01Z</dcterms:modified>
</cp:coreProperties>
</file>