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uarez\Desktop\"/>
    </mc:Choice>
  </mc:AlternateContent>
  <bookViews>
    <workbookView xWindow="0" yWindow="0" windowWidth="24000" windowHeight="9735"/>
  </bookViews>
  <sheets>
    <sheet name="CALL.14 CAR. 7 Y 8- CON PAVIM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4" i="1" l="1"/>
  <c r="F106" i="1"/>
  <c r="F105" i="1"/>
  <c r="F104" i="1"/>
  <c r="F103" i="1"/>
  <c r="F107" i="1" s="1"/>
  <c r="F109" i="1" s="1"/>
  <c r="F102" i="1"/>
  <c r="F64" i="1"/>
  <c r="F63" i="1"/>
  <c r="F62" i="1"/>
  <c r="F60" i="1"/>
  <c r="F58" i="1"/>
  <c r="J57" i="1"/>
  <c r="I57" i="1"/>
  <c r="K57" i="1" s="1"/>
  <c r="F57" i="1"/>
  <c r="H56" i="1"/>
  <c r="K56" i="1" s="1"/>
  <c r="F56" i="1"/>
  <c r="K55" i="1"/>
  <c r="L56" i="1" s="1"/>
  <c r="H55" i="1"/>
  <c r="F55" i="1"/>
  <c r="H54" i="1"/>
  <c r="K54" i="1" s="1"/>
  <c r="F54" i="1"/>
  <c r="L53" i="1"/>
  <c r="K53" i="1"/>
  <c r="F53" i="1"/>
  <c r="K52" i="1"/>
  <c r="F52" i="1"/>
  <c r="K51" i="1"/>
  <c r="F51" i="1"/>
  <c r="F49" i="1"/>
  <c r="F48" i="1"/>
  <c r="F47" i="1"/>
  <c r="F46" i="1"/>
  <c r="K45" i="1"/>
  <c r="F45" i="1"/>
  <c r="F44" i="1"/>
  <c r="K43" i="1"/>
  <c r="F43" i="1"/>
  <c r="K42" i="1"/>
  <c r="F42" i="1"/>
  <c r="K41" i="1"/>
  <c r="F41" i="1"/>
  <c r="K40" i="1"/>
  <c r="F40" i="1"/>
  <c r="K39" i="1"/>
  <c r="F39" i="1"/>
  <c r="H38" i="1"/>
  <c r="K38" i="1" s="1"/>
  <c r="F38" i="1"/>
  <c r="K37" i="1"/>
  <c r="L38" i="1" s="1"/>
  <c r="K36" i="1"/>
  <c r="L36" i="1" s="1"/>
  <c r="H36" i="1"/>
  <c r="F36" i="1"/>
  <c r="K35" i="1"/>
  <c r="H35" i="1"/>
  <c r="F35" i="1"/>
  <c r="H34" i="1"/>
  <c r="K34" i="1" s="1"/>
  <c r="L35" i="1" s="1"/>
  <c r="F34" i="1"/>
  <c r="H32" i="1"/>
  <c r="K32" i="1" s="1"/>
  <c r="F32" i="1"/>
  <c r="K31" i="1"/>
  <c r="L32" i="1" s="1"/>
  <c r="F31" i="1"/>
  <c r="J30" i="1"/>
  <c r="H30" i="1"/>
  <c r="K30" i="1" s="1"/>
  <c r="K29" i="1"/>
  <c r="J29" i="1"/>
  <c r="F29" i="1"/>
  <c r="K28" i="1"/>
  <c r="H28" i="1"/>
  <c r="F28" i="1"/>
  <c r="K27" i="1"/>
  <c r="L28" i="1" s="1"/>
  <c r="F27" i="1"/>
  <c r="K26" i="1"/>
  <c r="H26" i="1"/>
  <c r="J25" i="1"/>
  <c r="H25" i="1"/>
  <c r="K25" i="1" s="1"/>
  <c r="J24" i="1"/>
  <c r="K24" i="1" s="1"/>
  <c r="J23" i="1"/>
  <c r="I23" i="1"/>
  <c r="H23" i="1"/>
  <c r="L23" i="1" s="1"/>
  <c r="D25" i="1" s="1"/>
  <c r="F25" i="1" s="1"/>
  <c r="F23" i="1"/>
  <c r="H22" i="1"/>
  <c r="K22" i="1" s="1"/>
  <c r="F22" i="1"/>
  <c r="K21" i="1"/>
  <c r="L22" i="1" s="1"/>
  <c r="H21" i="1"/>
  <c r="F21" i="1"/>
  <c r="K20" i="1"/>
  <c r="H20" i="1"/>
  <c r="K19" i="1"/>
  <c r="L20" i="1" s="1"/>
  <c r="F19" i="1"/>
  <c r="F18" i="1"/>
  <c r="F17" i="1"/>
  <c r="J16" i="1"/>
  <c r="I16" i="1"/>
  <c r="K16" i="1" s="1"/>
  <c r="H16" i="1"/>
  <c r="F16" i="1"/>
  <c r="K15" i="1"/>
  <c r="F15" i="1"/>
  <c r="F67" i="1" s="1"/>
  <c r="J6" i="1"/>
  <c r="K4" i="1"/>
  <c r="J67" i="1" l="1"/>
  <c r="E71" i="1"/>
  <c r="F71" i="1" s="1"/>
  <c r="E74" i="1" s="1"/>
  <c r="F74" i="1" s="1"/>
  <c r="E70" i="1"/>
  <c r="F70" i="1" s="1"/>
  <c r="F73" i="1" s="1"/>
  <c r="E69" i="1"/>
  <c r="F69" i="1" s="1"/>
  <c r="L26" i="1"/>
  <c r="L30" i="1"/>
  <c r="F112" i="1"/>
  <c r="F110" i="1"/>
  <c r="F76" i="1" l="1"/>
  <c r="F114" i="1" l="1"/>
  <c r="J76" i="1"/>
</calcChain>
</file>

<file path=xl/sharedStrings.xml><?xml version="1.0" encoding="utf-8"?>
<sst xmlns="http://schemas.openxmlformats.org/spreadsheetml/2006/main" count="262" uniqueCount="195">
  <si>
    <t>EMPOCALDAS  S.A.  E. S. P.</t>
  </si>
  <si>
    <t>DATOS</t>
  </si>
  <si>
    <t>EMPRESA  DE OBRAS SANITARIAS  DECALDAS</t>
  </si>
  <si>
    <t>SECCIONAL  CHINCHINA - CALDAS -</t>
  </si>
  <si>
    <t>cr. 7</t>
  </si>
  <si>
    <t>intermedia</t>
  </si>
  <si>
    <t>car. 8</t>
  </si>
  <si>
    <t>Prof.cámaras</t>
  </si>
  <si>
    <t>1,7 y 8</t>
  </si>
  <si>
    <t>1,6 m y 8-12</t>
  </si>
  <si>
    <t>3m y 12m</t>
  </si>
  <si>
    <t>OBJETO: REPOSICIÓN Y OPTIMIZACIÓN DE ALCANTARILLADO  EN LA CALLE 14  ENTRE CARRERA 7 Y 8  COSTADO</t>
  </si>
  <si>
    <t>Tramo  cr.7  a camara intermedia</t>
  </si>
  <si>
    <t>LATERAL ESTACION DE POLICIA, MUNICIPIO DE CHINCHINA, CALDAS.-</t>
  </si>
  <si>
    <t>Cam.Intermedia  a  Car. 8</t>
  </si>
  <si>
    <t xml:space="preserve">MUNICIPIO:  CHINCHINA, CALDAS.- </t>
  </si>
  <si>
    <t>Ancho vía</t>
  </si>
  <si>
    <t>PRESUPUESTO:  ABEL ROJAS RUBIANO</t>
  </si>
  <si>
    <t xml:space="preserve">domiciliarias </t>
  </si>
  <si>
    <t>10 und</t>
  </si>
  <si>
    <t>Longitud  domicil.</t>
  </si>
  <si>
    <t>4,50 m</t>
  </si>
  <si>
    <t>FECHA:   LA DORADA,  ABRIL 05 DE 2019</t>
  </si>
  <si>
    <t>Diametro tube.</t>
  </si>
  <si>
    <t>12"</t>
  </si>
  <si>
    <t>FORMULARIO  DE  CANTIDADES Y PRECIOS UNITARIOS</t>
  </si>
  <si>
    <t xml:space="preserve"> REPOSICIÓN Y OPTIMIZACIÓN DE ALCANTARILLADO  EN LA CALLE 14  ENTRE CARRERA 7 Y 8, COSTADO LATERAL ESTACIÓN DE POLICIA. MUNICIPIO DE CHINCHINA, CALDAS.-</t>
  </si>
  <si>
    <t>con Pavimento</t>
  </si>
  <si>
    <t>ITEMS</t>
  </si>
  <si>
    <t xml:space="preserve">DESCRIPCION </t>
  </si>
  <si>
    <t>UNID</t>
  </si>
  <si>
    <t>CANTIDAD</t>
  </si>
  <si>
    <t>VR. UNITARIO</t>
  </si>
  <si>
    <t xml:space="preserve">VR. TOTAL </t>
  </si>
  <si>
    <t>1.-</t>
  </si>
  <si>
    <t>PRELIMINARES</t>
  </si>
  <si>
    <t>1.1</t>
  </si>
  <si>
    <t>Localizacion y replanteo de redes (Incl.levantamiento del sector y plano record)</t>
  </si>
  <si>
    <t>mts</t>
  </si>
  <si>
    <t>Localizacion</t>
  </si>
  <si>
    <t>1.1.</t>
  </si>
  <si>
    <t>1.2</t>
  </si>
  <si>
    <t>Cerramiento en polisombra Yute verde de H=2m, parales en guadua y Cinta Plástica.</t>
  </si>
  <si>
    <t>Cerramiento</t>
  </si>
  <si>
    <t>1.3</t>
  </si>
  <si>
    <t>Diseño Pavimento.</t>
  </si>
  <si>
    <t>Und</t>
  </si>
  <si>
    <t xml:space="preserve">1.4 </t>
  </si>
  <si>
    <t>Señalizacion Vertical preventivas (Desvio, hombres trabajando, vía cerrada, barreras etc.)</t>
  </si>
  <si>
    <t xml:space="preserve">Demoliciones </t>
  </si>
  <si>
    <t xml:space="preserve">1.5 </t>
  </si>
  <si>
    <t>Valla alusiva a la Obra de 4 x 2m</t>
  </si>
  <si>
    <t>und</t>
  </si>
  <si>
    <t>Red ppal</t>
  </si>
  <si>
    <t>DEMOLICIONES VARIAS</t>
  </si>
  <si>
    <t>2.1</t>
  </si>
  <si>
    <t>Demoliciones de pavimentos rigidos</t>
  </si>
  <si>
    <t>m3</t>
  </si>
  <si>
    <t>Cajas anden</t>
  </si>
  <si>
    <t>Demoliciones varias de muros en concretos, otros</t>
  </si>
  <si>
    <t>Anden</t>
  </si>
  <si>
    <t>2.2</t>
  </si>
  <si>
    <t>2.3</t>
  </si>
  <si>
    <t>Demoliciones de Andenes y Sardinel en concreto hidráulico</t>
  </si>
  <si>
    <t>Retiro</t>
  </si>
  <si>
    <t>3.1</t>
  </si>
  <si>
    <t>SOBREACARREOS</t>
  </si>
  <si>
    <t>Excav.Red ppal</t>
  </si>
  <si>
    <t>|</t>
  </si>
  <si>
    <t>Retiro de sobrantes en vehículo Automotor</t>
  </si>
  <si>
    <t xml:space="preserve">Exca.Red domic. </t>
  </si>
  <si>
    <t xml:space="preserve">EXCAVACIONES </t>
  </si>
  <si>
    <t>Cajas Inspecc.</t>
  </si>
  <si>
    <t>4.1</t>
  </si>
  <si>
    <t>Excavaciones en zanja - material Común  0 a 2 m</t>
  </si>
  <si>
    <t>Excavaciones en Material Conglomerado</t>
  </si>
  <si>
    <t>4.2</t>
  </si>
  <si>
    <t>toda la losa</t>
  </si>
  <si>
    <t>Entibado horizontal / vertical tipo 2</t>
  </si>
  <si>
    <t>m2</t>
  </si>
  <si>
    <t>lleno .Red ppal</t>
  </si>
  <si>
    <t>RELLENOS COMPACTADOS</t>
  </si>
  <si>
    <t xml:space="preserve">lleno.Red domic. </t>
  </si>
  <si>
    <t>5.1</t>
  </si>
  <si>
    <t>Rellenos compactos con material seleccionado  de excavación</t>
  </si>
  <si>
    <t>5.2</t>
  </si>
  <si>
    <t>Rellenos compactos con material comun de cantera prestamo</t>
  </si>
  <si>
    <t>SUSTITUCIONES- BASES Y SUBBASES COMPACTOS</t>
  </si>
  <si>
    <t>6.1</t>
  </si>
  <si>
    <t>Suministro e instalación de afirmado en andenes compactos espesor 0,10 m</t>
  </si>
  <si>
    <t>Suministro e instalcion de Sub-base tipo INVIAS E=0,20 m. incluye ensayos de densidad, protor.</t>
  </si>
  <si>
    <t>Suministro e instalacion Sustitucion en arena  para tuberías y atraques.</t>
  </si>
  <si>
    <t xml:space="preserve">Sub-base </t>
  </si>
  <si>
    <t>6.2</t>
  </si>
  <si>
    <t>ALCANTARILLADOS</t>
  </si>
  <si>
    <t>Arena .Red ppal</t>
  </si>
  <si>
    <t>7.1</t>
  </si>
  <si>
    <t xml:space="preserve"> Instalación de tuberia corrugada PVC-S  de 160 mm (6"). Incluye manejo de aguas en zanja.</t>
  </si>
  <si>
    <t>ml</t>
  </si>
  <si>
    <t xml:space="preserve">Arena.Red domic. </t>
  </si>
  <si>
    <t>6.3</t>
  </si>
  <si>
    <t xml:space="preserve"> Instalacion tuberia corrugada PVC-S  de 250 mm (10").Incluye manejos de aguas en zanja.</t>
  </si>
  <si>
    <t>Tuberia 6"</t>
  </si>
  <si>
    <t>7.3</t>
  </si>
  <si>
    <t>Instalacion tuberia corrugada PVC-S  de 315 mm (12").Incluye manejos de aguas en zanja.</t>
  </si>
  <si>
    <t>Tubería  10"</t>
  </si>
  <si>
    <t>7.2</t>
  </si>
  <si>
    <t>7.4</t>
  </si>
  <si>
    <t>Empalmes a Cámaras d=1.20 m concreto 300 psi</t>
  </si>
  <si>
    <t>Tubería de 12"</t>
  </si>
  <si>
    <t>7.5</t>
  </si>
  <si>
    <t>Empalmes a Cajas de Inspeccion Concreto 3000 psi</t>
  </si>
  <si>
    <t>Empalm.camara</t>
  </si>
  <si>
    <t>7.6</t>
  </si>
  <si>
    <t>Cámaras de Inspección D= 1.20 -Concreto  21 Mpa</t>
  </si>
  <si>
    <t>Empalm.Caja ins</t>
  </si>
  <si>
    <t>7.7</t>
  </si>
  <si>
    <t>Base/ cañuela camara D=1.20 m en concreto 3000 psi</t>
  </si>
  <si>
    <t>Intermedia</t>
  </si>
  <si>
    <t>Car. 8</t>
  </si>
  <si>
    <t>7.8</t>
  </si>
  <si>
    <t>Suministro e Instalacion Tapa D=0.60m en HF</t>
  </si>
  <si>
    <t>tapa HF</t>
  </si>
  <si>
    <t>7.9</t>
  </si>
  <si>
    <t>Cajas de Inspeccion de 0,50 x 0,50 x 0,80, Incluye tapa reforzada</t>
  </si>
  <si>
    <t xml:space="preserve">Cajas Inspeccion </t>
  </si>
  <si>
    <t>7.10</t>
  </si>
  <si>
    <t>Sumidero doble reja tipo sifon en concreto 21 Mpa   Tapa en HF, Acero de 1" separacion hierro 5 cms a ejes, platina central de refuerzo. según diseño establecido.</t>
  </si>
  <si>
    <t xml:space="preserve">Sumideros </t>
  </si>
  <si>
    <t>7.11</t>
  </si>
  <si>
    <t>Losa en concreto reforzado de 1.60 x1.60 x 0,18m acero de refuerzo, doble parrillas No. 4 cada 15 cms. incluye antisol y acelerante. Concreto de 4000 Psi</t>
  </si>
  <si>
    <t>Losa en los extremos  carrera  7 y 8</t>
  </si>
  <si>
    <t>7.12</t>
  </si>
  <si>
    <t>Instalacion de silla yee de 12 x 6".</t>
  </si>
  <si>
    <t xml:space="preserve">Sillas </t>
  </si>
  <si>
    <t xml:space="preserve">OBRAS EN CONCRETO </t>
  </si>
  <si>
    <t>8.1</t>
  </si>
  <si>
    <t>Corte mecánizado profundidad  0.07 m</t>
  </si>
  <si>
    <t xml:space="preserve"> corte Pavimento</t>
  </si>
  <si>
    <t>8.2</t>
  </si>
  <si>
    <t xml:space="preserve">Pavimento en rigido de 4000 Psi de espesor 0,18  en obra incluye  Antisol, ensayos Flexion, diseño mezclas, vibrador para concreto, Mezcladora de 1 saco </t>
  </si>
  <si>
    <t xml:space="preserve">Corte domicilia. </t>
  </si>
  <si>
    <t>8.3</t>
  </si>
  <si>
    <t>Pavimento Flexible mezcla caliente incluye Imprimación, regado, compactacion con cilindro espesor  0,18 m.</t>
  </si>
  <si>
    <t>anden  Cajas insp.</t>
  </si>
  <si>
    <t>8.4</t>
  </si>
  <si>
    <t>Adecuacion de Andenes y Rampas  e= 0,08 m Concreto de 3000 Psi.</t>
  </si>
  <si>
    <t>Pavimento</t>
  </si>
  <si>
    <t>8.5</t>
  </si>
  <si>
    <t xml:space="preserve">Pavimento en rigido de 3000 Psi de espesor 0,12  en obra incluye Acelerante, Antisol, ensayos de laboratorios </t>
  </si>
  <si>
    <t>8.6</t>
  </si>
  <si>
    <t xml:space="preserve">Acero para conformacion de Dovelas, canastillas, longitudinal. Diametros 7/8" L= 0,35 m separacion 0,30 m, 1/2" L=1,00 m, Canastill 1/4" </t>
  </si>
  <si>
    <t>Kgs</t>
  </si>
  <si>
    <t>8.7</t>
  </si>
  <si>
    <t>Corte y sellado de junta de pavimento rigido con material elastoplastico.</t>
  </si>
  <si>
    <t>sellado juntas</t>
  </si>
  <si>
    <t>8.8</t>
  </si>
  <si>
    <t xml:space="preserve">Acero de Refuerzo  para losas </t>
  </si>
  <si>
    <t>TRABAJO DE SOCIALIZACION</t>
  </si>
  <si>
    <t>9.1</t>
  </si>
  <si>
    <t>Trabajadora Social-todo el proceso domic iliarias y socialización de la obra contrada</t>
  </si>
  <si>
    <t>Gbl</t>
  </si>
  <si>
    <t>1,870,985</t>
  </si>
  <si>
    <t>OBRAS DE RESTAURACION INTERNA DE TUBERÍA</t>
  </si>
  <si>
    <t>10.1</t>
  </si>
  <si>
    <t xml:space="preserve">Suministro , aplicación de Sika top 122 Mono componente. Incluye mano de obra, equipo manual y de ventilacion interna. </t>
  </si>
  <si>
    <t>Alquiler de Equipo encapsulado con autocontenidos con equipo de Iluminacion fria. Incluye acompañamiento de la Empresa propietaria del equipo.</t>
  </si>
  <si>
    <t>Días</t>
  </si>
  <si>
    <t>siete dias.</t>
  </si>
  <si>
    <t>10.3</t>
  </si>
  <si>
    <t xml:space="preserve">Desvio de Aguas, Internas,  externas. Incluye todos los elementos y equipor para este fin. </t>
  </si>
  <si>
    <t>COSTO DIRECTO</t>
  </si>
  <si>
    <t>ADMINISTRACION</t>
  </si>
  <si>
    <t>%</t>
  </si>
  <si>
    <t>IMPREVISTO</t>
  </si>
  <si>
    <t>UTILIDADES</t>
  </si>
  <si>
    <t>SUMA ANTES I.V.A</t>
  </si>
  <si>
    <t>I.V.A  SOBRE UTILIDADES</t>
  </si>
  <si>
    <t>COSTO  TOTAL OBRAS CIVILES</t>
  </si>
  <si>
    <t>CÓDIGO</t>
  </si>
  <si>
    <t>SUMINISTRO</t>
  </si>
  <si>
    <t>Tuberia Corrugada PVC-S  de 10"</t>
  </si>
  <si>
    <t>Tuberia Corrugada PVC-S  de 06"</t>
  </si>
  <si>
    <t>Tuberia Corrugada PVC-S  de 12"</t>
  </si>
  <si>
    <t>Silletas yee  de 12 x 6"</t>
  </si>
  <si>
    <t>Adhesivo  Epóxico</t>
  </si>
  <si>
    <t>1/4 gal</t>
  </si>
  <si>
    <t>TOTAL SUMINISTROS</t>
  </si>
  <si>
    <t>COSTO ANTES DEL I.V.A.</t>
  </si>
  <si>
    <t>I. V. A.</t>
  </si>
  <si>
    <t xml:space="preserve">COSTO  TOTAL </t>
  </si>
  <si>
    <t>PLAZO:  NOVENTA (90) DIAS CALENDARIOS</t>
  </si>
  <si>
    <t>ABEL ROJAS RUBIANO</t>
  </si>
  <si>
    <t>Ingeniero Zona Oriente</t>
  </si>
  <si>
    <t>EMPOCALDAS  S.A.  E.S.P.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</si>
</sst>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3" borderId="0" xfId="0" applyFill="1"/>
    <xf numFmtId="0" fontId="3" fillId="0" borderId="10" xfId="0" applyFont="1" applyBorder="1"/>
    <xf numFmtId="0" fontId="3" fillId="0" borderId="9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Border="1"/>
    <xf numFmtId="0" fontId="3" fillId="0" borderId="11" xfId="0" applyFont="1" applyBorder="1"/>
    <xf numFmtId="0" fontId="3" fillId="0" borderId="12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13" xfId="0" applyFont="1" applyBorder="1"/>
    <xf numFmtId="0" fontId="3" fillId="0" borderId="14" xfId="0" applyFont="1" applyBorder="1"/>
    <xf numFmtId="2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3" fillId="0" borderId="0" xfId="0" applyFont="1" applyFill="1" applyBorder="1"/>
    <xf numFmtId="0" fontId="5" fillId="0" borderId="1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9" xfId="0" applyFont="1" applyBorder="1"/>
    <xf numFmtId="2" fontId="4" fillId="0" borderId="9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wrapText="1"/>
    </xf>
    <xf numFmtId="0" fontId="3" fillId="4" borderId="9" xfId="0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0" fontId="3" fillId="3" borderId="0" xfId="0" applyFont="1" applyFill="1" applyBorder="1"/>
    <xf numFmtId="0" fontId="4" fillId="0" borderId="9" xfId="0" applyFont="1" applyBorder="1"/>
    <xf numFmtId="0" fontId="3" fillId="0" borderId="19" xfId="0" applyFont="1" applyBorder="1"/>
    <xf numFmtId="2" fontId="3" fillId="0" borderId="9" xfId="0" applyNumberFormat="1" applyFont="1" applyBorder="1"/>
    <xf numFmtId="2" fontId="3" fillId="0" borderId="10" xfId="0" applyNumberFormat="1" applyFont="1" applyBorder="1"/>
    <xf numFmtId="0" fontId="0" fillId="4" borderId="0" xfId="0" applyFill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2" fontId="3" fillId="0" borderId="21" xfId="0" applyNumberFormat="1" applyFont="1" applyBorder="1"/>
    <xf numFmtId="0" fontId="0" fillId="0" borderId="0" xfId="0" applyAlignment="1">
      <alignment horizontal="center"/>
    </xf>
    <xf numFmtId="164" fontId="3" fillId="0" borderId="9" xfId="0" applyNumberFormat="1" applyFont="1" applyBorder="1"/>
    <xf numFmtId="0" fontId="6" fillId="0" borderId="9" xfId="0" applyFont="1" applyBorder="1" applyAlignment="1">
      <alignment wrapText="1"/>
    </xf>
    <xf numFmtId="3" fontId="4" fillId="3" borderId="9" xfId="0" applyNumberFormat="1" applyFont="1" applyFill="1" applyBorder="1" applyAlignment="1">
      <alignment horizontal="center"/>
    </xf>
    <xf numFmtId="2" fontId="3" fillId="0" borderId="22" xfId="0" applyNumberFormat="1" applyFont="1" applyBorder="1"/>
    <xf numFmtId="3" fontId="4" fillId="0" borderId="23" xfId="0" applyNumberFormat="1" applyFont="1" applyBorder="1" applyAlignment="1">
      <alignment horizontal="center"/>
    </xf>
    <xf numFmtId="2" fontId="3" fillId="0" borderId="19" xfId="0" applyNumberFormat="1" applyFont="1" applyBorder="1"/>
    <xf numFmtId="2" fontId="3" fillId="0" borderId="20" xfId="0" applyNumberFormat="1" applyFont="1" applyBorder="1"/>
    <xf numFmtId="0" fontId="3" fillId="0" borderId="24" xfId="0" applyFont="1" applyBorder="1"/>
    <xf numFmtId="0" fontId="3" fillId="0" borderId="23" xfId="0" applyFont="1" applyBorder="1"/>
    <xf numFmtId="165" fontId="3" fillId="0" borderId="9" xfId="0" applyNumberFormat="1" applyFont="1" applyBorder="1"/>
    <xf numFmtId="2" fontId="3" fillId="0" borderId="23" xfId="0" applyNumberFormat="1" applyFont="1" applyBorder="1"/>
    <xf numFmtId="0" fontId="0" fillId="3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0" fontId="4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4" fillId="0" borderId="9" xfId="0" applyFont="1" applyBorder="1" applyAlignment="1">
      <alignment horizontal="left" vertical="center" wrapText="1"/>
    </xf>
    <xf numFmtId="3" fontId="4" fillId="0" borderId="9" xfId="0" applyNumberFormat="1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2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0" fillId="0" borderId="11" xfId="0" applyBorder="1"/>
    <xf numFmtId="0" fontId="5" fillId="0" borderId="9" xfId="0" applyFont="1" applyBorder="1"/>
    <xf numFmtId="0" fontId="7" fillId="0" borderId="2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26" xfId="0" applyNumberFormat="1" applyFont="1" applyBorder="1" applyAlignment="1">
      <alignment horizontal="center"/>
    </xf>
    <xf numFmtId="3" fontId="3" fillId="0" borderId="0" xfId="0" applyNumberFormat="1" applyFont="1"/>
    <xf numFmtId="0" fontId="1" fillId="0" borderId="24" xfId="0" applyFont="1" applyBorder="1"/>
    <xf numFmtId="0" fontId="0" fillId="0" borderId="13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0" fontId="4" fillId="0" borderId="24" xfId="0" applyFont="1" applyBorder="1"/>
    <xf numFmtId="0" fontId="4" fillId="0" borderId="24" xfId="0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0" fontId="0" fillId="0" borderId="27" xfId="0" applyBorder="1"/>
    <xf numFmtId="0" fontId="0" fillId="0" borderId="24" xfId="0" applyBorder="1"/>
    <xf numFmtId="0" fontId="0" fillId="0" borderId="19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4" xfId="0" applyNumberFormat="1" applyBorder="1"/>
    <xf numFmtId="0" fontId="1" fillId="0" borderId="9" xfId="0" applyFont="1" applyBorder="1"/>
    <xf numFmtId="0" fontId="0" fillId="0" borderId="25" xfId="0" applyBorder="1"/>
    <xf numFmtId="3" fontId="0" fillId="0" borderId="11" xfId="0" applyNumberFormat="1" applyBorder="1"/>
    <xf numFmtId="3" fontId="1" fillId="0" borderId="9" xfId="0" applyNumberFormat="1" applyFont="1" applyBorder="1" applyAlignment="1">
      <alignment horizontal="center"/>
    </xf>
    <xf numFmtId="0" fontId="1" fillId="0" borderId="0" xfId="0" applyFont="1" applyBorder="1"/>
    <xf numFmtId="3" fontId="0" fillId="0" borderId="0" xfId="0" applyNumberFormat="1" applyBorder="1"/>
    <xf numFmtId="3" fontId="1" fillId="0" borderId="0" xfId="0" applyNumberFormat="1" applyFont="1" applyBorder="1" applyAlignment="1">
      <alignment horizontal="center"/>
    </xf>
    <xf numFmtId="3" fontId="0" fillId="0" borderId="0" xfId="0" applyNumberFormat="1"/>
    <xf numFmtId="0" fontId="0" fillId="0" borderId="9" xfId="0" applyFont="1" applyBorder="1" applyAlignment="1">
      <alignment horizontal="center"/>
    </xf>
    <xf numFmtId="0" fontId="0" fillId="0" borderId="12" xfId="0" applyBorder="1"/>
    <xf numFmtId="0" fontId="0" fillId="0" borderId="9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9" xfId="0" applyBorder="1"/>
    <xf numFmtId="0" fontId="0" fillId="0" borderId="9" xfId="0" applyFont="1" applyBorder="1" applyAlignment="1"/>
    <xf numFmtId="3" fontId="0" fillId="0" borderId="9" xfId="0" applyNumberFormat="1" applyFont="1" applyBorder="1" applyAlignment="1">
      <alignment horizontal="center"/>
    </xf>
    <xf numFmtId="166" fontId="0" fillId="0" borderId="9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21" xfId="0" applyFill="1" applyBorder="1"/>
    <xf numFmtId="0" fontId="0" fillId="0" borderId="25" xfId="0" applyBorder="1" applyAlignment="1">
      <alignment horizontal="center"/>
    </xf>
    <xf numFmtId="0" fontId="0" fillId="0" borderId="9" xfId="0" applyFill="1" applyBorder="1"/>
    <xf numFmtId="3" fontId="0" fillId="0" borderId="9" xfId="0" applyNumberFormat="1" applyBorder="1"/>
    <xf numFmtId="0" fontId="1" fillId="0" borderId="28" xfId="0" applyFont="1" applyBorder="1"/>
    <xf numFmtId="3" fontId="1" fillId="0" borderId="2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0</xdr:rowOff>
    </xdr:from>
    <xdr:to>
      <xdr:col>1</xdr:col>
      <xdr:colOff>28576</xdr:colOff>
      <xdr:row>1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0"/>
          <a:ext cx="485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workbookViewId="0">
      <selection activeCell="G1" sqref="G1:N1048576"/>
    </sheetView>
  </sheetViews>
  <sheetFormatPr baseColWidth="10" defaultRowHeight="15" x14ac:dyDescent="0.25"/>
  <cols>
    <col min="1" max="1" width="8.5703125" customWidth="1"/>
    <col min="2" max="2" width="42.85546875" customWidth="1"/>
    <col min="4" max="4" width="11.42578125" customWidth="1"/>
    <col min="5" max="5" width="12.85546875" customWidth="1"/>
    <col min="6" max="6" width="15" customWidth="1"/>
    <col min="7" max="7" width="12.140625" hidden="1" customWidth="1"/>
    <col min="8" max="14" width="0" hidden="1" customWidth="1"/>
  </cols>
  <sheetData>
    <row r="1" spans="1:12" ht="15.75" x14ac:dyDescent="0.25">
      <c r="A1" s="1" t="s">
        <v>0</v>
      </c>
      <c r="B1" s="2"/>
      <c r="C1" s="2"/>
      <c r="D1" s="2"/>
      <c r="E1" s="2"/>
      <c r="F1" s="3"/>
      <c r="G1" s="4" t="s">
        <v>1</v>
      </c>
      <c r="H1" s="4"/>
      <c r="I1" s="4"/>
      <c r="J1" s="4"/>
      <c r="K1" s="4"/>
    </row>
    <row r="2" spans="1:12" x14ac:dyDescent="0.25">
      <c r="A2" s="5" t="s">
        <v>2</v>
      </c>
      <c r="B2" s="6"/>
      <c r="C2" s="6"/>
      <c r="D2" s="6"/>
      <c r="E2" s="6"/>
      <c r="F2" s="7"/>
      <c r="G2" s="4"/>
      <c r="H2" s="4"/>
      <c r="I2" s="4"/>
      <c r="J2" s="4"/>
      <c r="K2" s="4"/>
    </row>
    <row r="3" spans="1:12" ht="15.75" thickBot="1" x14ac:dyDescent="0.3">
      <c r="A3" s="8" t="s">
        <v>3</v>
      </c>
      <c r="B3" s="9"/>
      <c r="C3" s="9"/>
      <c r="D3" s="9"/>
      <c r="E3" s="9"/>
      <c r="F3" s="10"/>
      <c r="G3" s="4"/>
      <c r="H3" s="11" t="s">
        <v>4</v>
      </c>
      <c r="I3" s="11" t="s">
        <v>5</v>
      </c>
      <c r="J3" s="11" t="s">
        <v>6</v>
      </c>
      <c r="K3" s="4"/>
    </row>
    <row r="4" spans="1:12" ht="15.75" thickBot="1" x14ac:dyDescent="0.3">
      <c r="A4" s="12"/>
      <c r="B4" s="12"/>
      <c r="C4" s="12"/>
      <c r="D4" s="12"/>
      <c r="E4" s="12"/>
      <c r="F4" s="12"/>
      <c r="G4" s="13" t="s">
        <v>7</v>
      </c>
      <c r="H4" s="11" t="s">
        <v>8</v>
      </c>
      <c r="I4" s="11" t="s">
        <v>9</v>
      </c>
      <c r="J4" s="11" t="s">
        <v>10</v>
      </c>
      <c r="K4" s="14">
        <f>+(1.7+1.6+3)/3</f>
        <v>2.1</v>
      </c>
    </row>
    <row r="5" spans="1:12" x14ac:dyDescent="0.25">
      <c r="A5" s="15" t="s">
        <v>11</v>
      </c>
      <c r="B5" s="16"/>
      <c r="C5" s="16"/>
      <c r="D5" s="16"/>
      <c r="E5" s="16"/>
      <c r="F5" s="17"/>
      <c r="G5" s="18" t="s">
        <v>12</v>
      </c>
      <c r="H5" s="19"/>
      <c r="I5" s="20">
        <v>53</v>
      </c>
      <c r="J5" s="4"/>
      <c r="K5" s="4"/>
    </row>
    <row r="6" spans="1:12" x14ac:dyDescent="0.25">
      <c r="A6" s="21"/>
      <c r="B6" s="22" t="s">
        <v>13</v>
      </c>
      <c r="C6" s="22"/>
      <c r="D6" s="22"/>
      <c r="E6" s="22"/>
      <c r="F6" s="23"/>
      <c r="G6" s="24" t="s">
        <v>14</v>
      </c>
      <c r="H6" s="25"/>
      <c r="I6" s="14">
        <v>40.65</v>
      </c>
      <c r="J6" s="14">
        <f>+I5+I6</f>
        <v>93.65</v>
      </c>
      <c r="K6" s="4"/>
    </row>
    <row r="7" spans="1:12" x14ac:dyDescent="0.25">
      <c r="A7" s="21" t="s">
        <v>15</v>
      </c>
      <c r="B7" s="22"/>
      <c r="C7" s="22"/>
      <c r="D7" s="22"/>
      <c r="E7" s="22"/>
      <c r="F7" s="23"/>
      <c r="G7" s="13" t="s">
        <v>16</v>
      </c>
      <c r="H7" s="26">
        <v>7.3</v>
      </c>
      <c r="I7" s="4"/>
      <c r="J7" s="4"/>
      <c r="K7" s="4"/>
    </row>
    <row r="8" spans="1:12" ht="15" customHeight="1" x14ac:dyDescent="0.25">
      <c r="A8" s="21" t="s">
        <v>17</v>
      </c>
      <c r="B8" s="22"/>
      <c r="C8" s="22"/>
      <c r="D8" s="22"/>
      <c r="E8" s="22"/>
      <c r="F8" s="23"/>
      <c r="G8" s="13" t="s">
        <v>18</v>
      </c>
      <c r="H8" s="11" t="s">
        <v>19</v>
      </c>
      <c r="I8" s="4"/>
      <c r="J8" s="27" t="s">
        <v>20</v>
      </c>
      <c r="K8" s="11" t="s">
        <v>21</v>
      </c>
    </row>
    <row r="9" spans="1:12" ht="15.75" thickBot="1" x14ac:dyDescent="0.3">
      <c r="A9" s="28" t="s">
        <v>22</v>
      </c>
      <c r="B9" s="29"/>
      <c r="C9" s="29"/>
      <c r="D9" s="29"/>
      <c r="E9" s="29"/>
      <c r="F9" s="30"/>
      <c r="G9" s="13" t="s">
        <v>23</v>
      </c>
      <c r="H9" s="11" t="s">
        <v>24</v>
      </c>
      <c r="I9" s="4"/>
      <c r="J9" s="4"/>
      <c r="K9" s="4"/>
    </row>
    <row r="10" spans="1:12" ht="15.75" thickBot="1" x14ac:dyDescent="0.3">
      <c r="G10" s="4"/>
      <c r="H10" s="4"/>
      <c r="I10" s="4"/>
      <c r="J10" s="4"/>
      <c r="K10" s="4"/>
    </row>
    <row r="11" spans="1:12" ht="15.75" thickBot="1" x14ac:dyDescent="0.3">
      <c r="A11" s="31" t="s">
        <v>25</v>
      </c>
      <c r="B11" s="32"/>
      <c r="C11" s="32"/>
      <c r="D11" s="32"/>
      <c r="E11" s="32"/>
      <c r="F11" s="33"/>
    </row>
    <row r="12" spans="1:12" ht="28.5" customHeight="1" thickBot="1" x14ac:dyDescent="0.3">
      <c r="A12" s="34" t="s">
        <v>26</v>
      </c>
      <c r="B12" s="35"/>
      <c r="C12" s="35"/>
      <c r="D12" s="35"/>
      <c r="E12" s="35"/>
      <c r="F12" s="36"/>
      <c r="G12" s="37" t="s">
        <v>27</v>
      </c>
    </row>
    <row r="13" spans="1:12" x14ac:dyDescent="0.25">
      <c r="A13" s="38" t="s">
        <v>28</v>
      </c>
      <c r="B13" s="38" t="s">
        <v>29</v>
      </c>
      <c r="C13" s="38" t="s">
        <v>30</v>
      </c>
      <c r="D13" s="38" t="s">
        <v>31</v>
      </c>
      <c r="E13" s="38" t="s">
        <v>32</v>
      </c>
      <c r="F13" s="38" t="s">
        <v>33</v>
      </c>
    </row>
    <row r="14" spans="1:12" x14ac:dyDescent="0.25">
      <c r="A14" s="39" t="s">
        <v>34</v>
      </c>
      <c r="B14" s="40" t="s">
        <v>35</v>
      </c>
      <c r="C14" s="39"/>
      <c r="D14" s="41"/>
      <c r="E14" s="42"/>
      <c r="F14" s="42"/>
    </row>
    <row r="15" spans="1:12" ht="24.75" x14ac:dyDescent="0.25">
      <c r="A15" s="39" t="s">
        <v>36</v>
      </c>
      <c r="B15" s="43" t="s">
        <v>37</v>
      </c>
      <c r="C15" s="39" t="s">
        <v>38</v>
      </c>
      <c r="D15" s="41">
        <v>93.65</v>
      </c>
      <c r="E15" s="42">
        <v>5518</v>
      </c>
      <c r="F15" s="42">
        <f>ROUND(D15*E15,0)</f>
        <v>516761</v>
      </c>
      <c r="G15" s="13" t="s">
        <v>39</v>
      </c>
      <c r="H15" s="14">
        <v>53</v>
      </c>
      <c r="I15" s="14">
        <v>40.65</v>
      </c>
      <c r="J15" s="14"/>
      <c r="K15" s="14">
        <f>+H15+I15</f>
        <v>93.65</v>
      </c>
      <c r="L15" s="44" t="s">
        <v>40</v>
      </c>
    </row>
    <row r="16" spans="1:12" ht="24.75" x14ac:dyDescent="0.25">
      <c r="A16" s="39" t="s">
        <v>41</v>
      </c>
      <c r="B16" s="43" t="s">
        <v>42</v>
      </c>
      <c r="C16" s="39" t="s">
        <v>38</v>
      </c>
      <c r="D16" s="41">
        <v>201.9</v>
      </c>
      <c r="E16" s="42">
        <v>9340</v>
      </c>
      <c r="F16" s="42">
        <f>ROUND(D16*E16,0)</f>
        <v>1885746</v>
      </c>
      <c r="G16" s="13" t="s">
        <v>43</v>
      </c>
      <c r="H16" s="14">
        <f>53*2</f>
        <v>106</v>
      </c>
      <c r="I16" s="14">
        <f>40.65*2</f>
        <v>81.3</v>
      </c>
      <c r="J16" s="14">
        <f>7.3*2</f>
        <v>14.6</v>
      </c>
      <c r="K16" s="14">
        <f>+H16+I16+J16</f>
        <v>201.9</v>
      </c>
      <c r="L16" s="44" t="s">
        <v>41</v>
      </c>
    </row>
    <row r="17" spans="1:14" x14ac:dyDescent="0.25">
      <c r="A17" s="39" t="s">
        <v>44</v>
      </c>
      <c r="B17" s="43" t="s">
        <v>45</v>
      </c>
      <c r="C17" s="39" t="s">
        <v>46</v>
      </c>
      <c r="D17" s="45">
        <v>1</v>
      </c>
      <c r="E17" s="42">
        <v>2000000</v>
      </c>
      <c r="F17" s="42">
        <f>ROUND(D17*E17,0)</f>
        <v>2000000</v>
      </c>
      <c r="G17" s="13"/>
      <c r="H17" s="18"/>
      <c r="I17" s="18"/>
      <c r="J17" s="18"/>
      <c r="K17" s="18"/>
      <c r="L17" s="46"/>
    </row>
    <row r="18" spans="1:14" ht="24.75" x14ac:dyDescent="0.25">
      <c r="A18" s="39" t="s">
        <v>47</v>
      </c>
      <c r="B18" s="43" t="s">
        <v>48</v>
      </c>
      <c r="C18" s="39" t="s">
        <v>46</v>
      </c>
      <c r="D18" s="41">
        <v>4</v>
      </c>
      <c r="E18" s="42">
        <v>177779</v>
      </c>
      <c r="F18" s="42">
        <f>ROUND(D18*E18,0)</f>
        <v>711116</v>
      </c>
      <c r="G18" s="13" t="s">
        <v>49</v>
      </c>
      <c r="H18" s="4"/>
      <c r="I18" s="4"/>
      <c r="J18" s="4"/>
      <c r="K18" s="4"/>
      <c r="L18" s="4"/>
    </row>
    <row r="19" spans="1:14" x14ac:dyDescent="0.25">
      <c r="A19" s="39" t="s">
        <v>50</v>
      </c>
      <c r="B19" s="47" t="s">
        <v>51</v>
      </c>
      <c r="C19" s="39" t="s">
        <v>52</v>
      </c>
      <c r="D19" s="41">
        <v>1</v>
      </c>
      <c r="E19" s="42">
        <v>529650</v>
      </c>
      <c r="F19" s="42">
        <f>ROUND(D19*E19,0)</f>
        <v>529650</v>
      </c>
      <c r="G19" s="48" t="s">
        <v>53</v>
      </c>
      <c r="H19" s="14">
        <v>93.65</v>
      </c>
      <c r="I19" s="14">
        <v>7.3</v>
      </c>
      <c r="J19" s="49">
        <v>0.2</v>
      </c>
      <c r="K19" s="49">
        <f t="shared" ref="K19:K22" si="0">+H19*I19*J19</f>
        <v>136.72900000000001</v>
      </c>
      <c r="L19" s="4"/>
    </row>
    <row r="20" spans="1:14" x14ac:dyDescent="0.25">
      <c r="A20" s="39">
        <v>2</v>
      </c>
      <c r="B20" s="40" t="s">
        <v>54</v>
      </c>
      <c r="C20" s="39"/>
      <c r="D20" s="41"/>
      <c r="E20" s="42"/>
      <c r="F20" s="42"/>
      <c r="G20" s="24" t="s">
        <v>18</v>
      </c>
      <c r="H20" s="14">
        <f>4.5*10</f>
        <v>45</v>
      </c>
      <c r="I20" s="14">
        <v>0.6</v>
      </c>
      <c r="J20" s="49">
        <v>0.2</v>
      </c>
      <c r="K20" s="49">
        <f t="shared" si="0"/>
        <v>5.4</v>
      </c>
      <c r="L20" s="50">
        <f>+K19+K20</f>
        <v>142.12900000000002</v>
      </c>
      <c r="M20" s="51" t="s">
        <v>55</v>
      </c>
    </row>
    <row r="21" spans="1:14" x14ac:dyDescent="0.25">
      <c r="A21" s="39" t="s">
        <v>55</v>
      </c>
      <c r="B21" s="47" t="s">
        <v>56</v>
      </c>
      <c r="C21" s="39" t="s">
        <v>57</v>
      </c>
      <c r="D21" s="45">
        <v>142.13</v>
      </c>
      <c r="E21" s="42">
        <v>45000</v>
      </c>
      <c r="F21" s="42">
        <f>ROUND(D21*E21,0)</f>
        <v>6395850</v>
      </c>
      <c r="G21" s="52" t="s">
        <v>58</v>
      </c>
      <c r="H21" s="53">
        <f>0.7*0.7</f>
        <v>0.48999999999999994</v>
      </c>
      <c r="I21" s="53">
        <v>10</v>
      </c>
      <c r="J21" s="54">
        <v>0.1</v>
      </c>
      <c r="K21" s="53">
        <f t="shared" si="0"/>
        <v>0.49</v>
      </c>
      <c r="L21" s="4"/>
      <c r="M21" s="55"/>
    </row>
    <row r="22" spans="1:14" x14ac:dyDescent="0.25">
      <c r="A22" s="39">
        <v>2.2000000000000002</v>
      </c>
      <c r="B22" s="43" t="s">
        <v>59</v>
      </c>
      <c r="C22" s="39" t="s">
        <v>57</v>
      </c>
      <c r="D22" s="41">
        <v>2.2000000000000002</v>
      </c>
      <c r="E22" s="42">
        <v>83600</v>
      </c>
      <c r="F22" s="42">
        <f>ROUND(D22*E22,0)</f>
        <v>183920</v>
      </c>
      <c r="G22" s="25" t="s">
        <v>60</v>
      </c>
      <c r="H22" s="14">
        <f>6*5</f>
        <v>30</v>
      </c>
      <c r="I22" s="56">
        <v>1</v>
      </c>
      <c r="J22" s="49">
        <v>0.1</v>
      </c>
      <c r="K22" s="14">
        <f t="shared" si="0"/>
        <v>3</v>
      </c>
      <c r="L22" s="14">
        <f>+K21+K22</f>
        <v>3.49</v>
      </c>
      <c r="M22" s="51" t="s">
        <v>61</v>
      </c>
    </row>
    <row r="23" spans="1:14" ht="24.75" x14ac:dyDescent="0.25">
      <c r="A23" s="39" t="s">
        <v>62</v>
      </c>
      <c r="B23" s="43" t="s">
        <v>63</v>
      </c>
      <c r="C23" s="39" t="s">
        <v>57</v>
      </c>
      <c r="D23" s="41">
        <v>3.49</v>
      </c>
      <c r="E23" s="42">
        <v>78546</v>
      </c>
      <c r="F23" s="42">
        <f>ROUND(D23*E23,0)</f>
        <v>274126</v>
      </c>
      <c r="G23" s="24" t="s">
        <v>64</v>
      </c>
      <c r="H23" s="49">
        <f>+D21+D22+D23</f>
        <v>147.82</v>
      </c>
      <c r="I23" s="49">
        <f>+D32+D35</f>
        <v>168.70999999999998</v>
      </c>
      <c r="J23" s="49">
        <f>+D36</f>
        <v>38.99</v>
      </c>
      <c r="K23" s="49"/>
      <c r="L23" s="50">
        <f>SUM(H23:K23)</f>
        <v>355.52</v>
      </c>
      <c r="M23" s="51" t="s">
        <v>65</v>
      </c>
    </row>
    <row r="24" spans="1:14" x14ac:dyDescent="0.25">
      <c r="A24" s="39">
        <v>3</v>
      </c>
      <c r="B24" s="57" t="s">
        <v>66</v>
      </c>
      <c r="C24" s="39"/>
      <c r="D24" s="41"/>
      <c r="E24" s="58"/>
      <c r="F24" s="42"/>
      <c r="G24" s="13" t="s">
        <v>67</v>
      </c>
      <c r="H24" s="14">
        <v>93.65</v>
      </c>
      <c r="I24" s="14">
        <v>0.85</v>
      </c>
      <c r="J24" s="14">
        <f>+(2.1-0.2)</f>
        <v>1.9000000000000001</v>
      </c>
      <c r="K24" s="50">
        <f>+H24*I24*J24</f>
        <v>151.24475000000001</v>
      </c>
      <c r="L24" s="4" t="s">
        <v>68</v>
      </c>
    </row>
    <row r="25" spans="1:14" x14ac:dyDescent="0.25">
      <c r="A25" s="39" t="s">
        <v>65</v>
      </c>
      <c r="B25" s="43" t="s">
        <v>69</v>
      </c>
      <c r="C25" s="39" t="s">
        <v>57</v>
      </c>
      <c r="D25" s="41">
        <f>+L23</f>
        <v>355.52</v>
      </c>
      <c r="E25" s="42">
        <v>26733</v>
      </c>
      <c r="F25" s="42">
        <f>ROUND(D25*E25,0)</f>
        <v>9504116</v>
      </c>
      <c r="G25" s="24" t="s">
        <v>70</v>
      </c>
      <c r="H25" s="14">
        <f>4.5*10</f>
        <v>45</v>
      </c>
      <c r="I25" s="14">
        <v>0.6</v>
      </c>
      <c r="J25" s="14">
        <f>+(2.1+0.9)/2-0.2</f>
        <v>1.3</v>
      </c>
      <c r="K25" s="50">
        <f t="shared" ref="K25" si="1">+H25*I25*J25</f>
        <v>35.1</v>
      </c>
      <c r="L25" s="59"/>
    </row>
    <row r="26" spans="1:14" x14ac:dyDescent="0.25">
      <c r="A26" s="39">
        <v>4</v>
      </c>
      <c r="B26" s="57" t="s">
        <v>71</v>
      </c>
      <c r="C26" s="39"/>
      <c r="D26" s="41"/>
      <c r="E26" s="42"/>
      <c r="F26" s="60"/>
      <c r="G26" s="14" t="s">
        <v>72</v>
      </c>
      <c r="H26" s="14">
        <f>0.7*0.7</f>
        <v>0.48999999999999994</v>
      </c>
      <c r="I26" s="14">
        <v>0.9</v>
      </c>
      <c r="J26" s="14">
        <v>10</v>
      </c>
      <c r="K26" s="50">
        <f>+H26*I26*J26</f>
        <v>4.4099999999999993</v>
      </c>
      <c r="L26" s="50">
        <f>+K24+K25+K26</f>
        <v>190.75475</v>
      </c>
      <c r="M26" s="51" t="s">
        <v>73</v>
      </c>
    </row>
    <row r="27" spans="1:14" x14ac:dyDescent="0.25">
      <c r="A27" s="39" t="s">
        <v>73</v>
      </c>
      <c r="B27" s="43" t="s">
        <v>74</v>
      </c>
      <c r="C27" s="39" t="s">
        <v>57</v>
      </c>
      <c r="D27" s="41">
        <v>190.75</v>
      </c>
      <c r="E27" s="42">
        <v>22031</v>
      </c>
      <c r="F27" s="60">
        <f>ROUND(D27*E27,0)</f>
        <v>4202413</v>
      </c>
      <c r="G27" s="14" t="s">
        <v>67</v>
      </c>
      <c r="H27" s="14">
        <v>93.65</v>
      </c>
      <c r="I27" s="14">
        <v>7.3</v>
      </c>
      <c r="J27" s="14">
        <v>0.2</v>
      </c>
      <c r="K27" s="50">
        <f>+H27*I27*J27</f>
        <v>136.72900000000001</v>
      </c>
      <c r="L27" s="61"/>
    </row>
    <row r="28" spans="1:14" x14ac:dyDescent="0.25">
      <c r="A28" s="39">
        <v>4.2</v>
      </c>
      <c r="B28" s="43" t="s">
        <v>75</v>
      </c>
      <c r="C28" s="39" t="s">
        <v>57</v>
      </c>
      <c r="D28" s="45">
        <v>136.72999999999999</v>
      </c>
      <c r="E28" s="42">
        <v>26194</v>
      </c>
      <c r="F28" s="42">
        <f>ROUND(D28*E28,0)</f>
        <v>3581506</v>
      </c>
      <c r="G28" s="24" t="s">
        <v>70</v>
      </c>
      <c r="H28" s="14">
        <f>4.5*10</f>
        <v>45</v>
      </c>
      <c r="I28" s="14">
        <v>0.6</v>
      </c>
      <c r="J28" s="14">
        <v>0</v>
      </c>
      <c r="K28" s="50">
        <f t="shared" ref="K28" si="2">+H28*I28*J28</f>
        <v>0</v>
      </c>
      <c r="L28" s="49">
        <f>+K27+K28</f>
        <v>136.72900000000001</v>
      </c>
      <c r="M28" s="51" t="s">
        <v>76</v>
      </c>
      <c r="N28" t="s">
        <v>77</v>
      </c>
    </row>
    <row r="29" spans="1:14" x14ac:dyDescent="0.25">
      <c r="A29" s="39">
        <v>4.3</v>
      </c>
      <c r="B29" s="43" t="s">
        <v>78</v>
      </c>
      <c r="C29" s="39" t="s">
        <v>79</v>
      </c>
      <c r="D29" s="41">
        <v>45</v>
      </c>
      <c r="E29" s="42">
        <v>26733</v>
      </c>
      <c r="F29" s="42">
        <f>ROUND(D29*E29,0)</f>
        <v>1202985</v>
      </c>
      <c r="G29" s="48" t="s">
        <v>80</v>
      </c>
      <c r="H29" s="53">
        <v>93.65</v>
      </c>
      <c r="I29" s="53">
        <v>0.85</v>
      </c>
      <c r="J29" s="54">
        <f>+(2.1-0.405-0.2)</f>
        <v>1.4950000000000001</v>
      </c>
      <c r="K29" s="62">
        <f>+H29*I29*J29</f>
        <v>119.00573750000002</v>
      </c>
      <c r="L29" s="4" t="s">
        <v>68</v>
      </c>
    </row>
    <row r="30" spans="1:14" x14ac:dyDescent="0.25">
      <c r="A30" s="39">
        <v>5</v>
      </c>
      <c r="B30" s="57" t="s">
        <v>81</v>
      </c>
      <c r="C30" s="39"/>
      <c r="D30" s="41"/>
      <c r="E30" s="42"/>
      <c r="F30" s="42"/>
      <c r="G30" s="63" t="s">
        <v>82</v>
      </c>
      <c r="H30" s="14">
        <f>4.5*10</f>
        <v>45</v>
      </c>
      <c r="I30" s="14">
        <v>0.6</v>
      </c>
      <c r="J30" s="14">
        <f>+(2.1+0.9)/2-0.25-0.2</f>
        <v>1.05</v>
      </c>
      <c r="K30" s="50">
        <f t="shared" ref="K30" si="3">+H30*I30*J30</f>
        <v>28.35</v>
      </c>
      <c r="L30" s="49">
        <f>+K29+K30</f>
        <v>147.35573750000003</v>
      </c>
      <c r="M30" s="51" t="s">
        <v>83</v>
      </c>
    </row>
    <row r="31" spans="1:14" ht="24.75" x14ac:dyDescent="0.25">
      <c r="A31" s="39" t="s">
        <v>83</v>
      </c>
      <c r="B31" s="43" t="s">
        <v>84</v>
      </c>
      <c r="C31" s="39" t="s">
        <v>57</v>
      </c>
      <c r="D31" s="41">
        <v>147.36000000000001</v>
      </c>
      <c r="E31" s="42">
        <v>18083</v>
      </c>
      <c r="F31" s="42">
        <f>ROUND(D31*E31,0)</f>
        <v>2664711</v>
      </c>
      <c r="G31" s="48" t="s">
        <v>80</v>
      </c>
      <c r="H31" s="53">
        <v>93.65</v>
      </c>
      <c r="I31" s="53">
        <v>0.85</v>
      </c>
      <c r="J31" s="54">
        <v>0.2</v>
      </c>
      <c r="K31" s="62">
        <f>+H31*I31*J31</f>
        <v>15.920500000000002</v>
      </c>
      <c r="L31" s="4" t="s">
        <v>68</v>
      </c>
      <c r="M31" s="55"/>
    </row>
    <row r="32" spans="1:14" ht="24.75" x14ac:dyDescent="0.25">
      <c r="A32" s="39" t="s">
        <v>85</v>
      </c>
      <c r="B32" s="43" t="s">
        <v>86</v>
      </c>
      <c r="C32" s="39" t="s">
        <v>57</v>
      </c>
      <c r="D32" s="41">
        <v>21.32</v>
      </c>
      <c r="E32" s="42">
        <v>77662</v>
      </c>
      <c r="F32" s="42">
        <f>ROUND(D32*E32,0)</f>
        <v>1655754</v>
      </c>
      <c r="G32" s="63" t="s">
        <v>82</v>
      </c>
      <c r="H32" s="14">
        <f>4.5*10</f>
        <v>45</v>
      </c>
      <c r="I32" s="14">
        <v>0.6</v>
      </c>
      <c r="J32" s="49">
        <v>0.2</v>
      </c>
      <c r="K32" s="50">
        <f t="shared" ref="K32" si="4">+H32*I32*J32</f>
        <v>5.4</v>
      </c>
      <c r="L32" s="49">
        <f>+K31+K32</f>
        <v>21.320500000000003</v>
      </c>
      <c r="M32" s="51" t="s">
        <v>85</v>
      </c>
    </row>
    <row r="33" spans="1:13" x14ac:dyDescent="0.25">
      <c r="A33" s="39">
        <v>6</v>
      </c>
      <c r="B33" s="57" t="s">
        <v>87</v>
      </c>
      <c r="C33" s="39"/>
      <c r="D33" s="41"/>
      <c r="E33" s="42"/>
      <c r="F33" s="42"/>
      <c r="G33" s="4"/>
      <c r="H33" s="4"/>
      <c r="I33" s="4"/>
      <c r="J33" s="4"/>
      <c r="K33" s="4"/>
      <c r="L33" s="4"/>
    </row>
    <row r="34" spans="1:13" ht="24.75" x14ac:dyDescent="0.25">
      <c r="A34" s="39" t="s">
        <v>88</v>
      </c>
      <c r="B34" s="43" t="s">
        <v>89</v>
      </c>
      <c r="C34" s="39" t="s">
        <v>57</v>
      </c>
      <c r="D34" s="41">
        <v>3.49</v>
      </c>
      <c r="E34" s="42">
        <v>70364</v>
      </c>
      <c r="F34" s="42">
        <f>ROUND(D34*E34,0)</f>
        <v>245570</v>
      </c>
      <c r="G34" s="14" t="s">
        <v>58</v>
      </c>
      <c r="H34" s="53">
        <f>0.7*0.7</f>
        <v>0.48999999999999994</v>
      </c>
      <c r="I34" s="53">
        <v>10</v>
      </c>
      <c r="J34" s="54">
        <v>0.1</v>
      </c>
      <c r="K34" s="53">
        <f t="shared" ref="K34:K35" si="5">+H34*I34*J34</f>
        <v>0.49</v>
      </c>
      <c r="L34" s="4"/>
    </row>
    <row r="35" spans="1:13" ht="24.75" x14ac:dyDescent="0.25">
      <c r="A35" s="39">
        <v>6.2</v>
      </c>
      <c r="B35" s="43" t="s">
        <v>90</v>
      </c>
      <c r="C35" s="39" t="s">
        <v>57</v>
      </c>
      <c r="D35" s="45">
        <v>147.38999999999999</v>
      </c>
      <c r="E35" s="42">
        <v>102739</v>
      </c>
      <c r="F35" s="42">
        <f>ROUND(D35*E35,0)</f>
        <v>15142701</v>
      </c>
      <c r="G35" s="25" t="s">
        <v>60</v>
      </c>
      <c r="H35" s="14">
        <f>6*5</f>
        <v>30</v>
      </c>
      <c r="I35" s="14">
        <v>1</v>
      </c>
      <c r="J35" s="49">
        <v>0.1</v>
      </c>
      <c r="K35" s="56">
        <f t="shared" si="5"/>
        <v>3</v>
      </c>
      <c r="L35" s="14">
        <f>+K34+K35</f>
        <v>3.49</v>
      </c>
      <c r="M35" s="51">
        <v>6.1</v>
      </c>
    </row>
    <row r="36" spans="1:13" ht="24.75" x14ac:dyDescent="0.25">
      <c r="A36" s="39">
        <v>6.3</v>
      </c>
      <c r="B36" s="43" t="s">
        <v>91</v>
      </c>
      <c r="C36" s="39" t="s">
        <v>57</v>
      </c>
      <c r="D36" s="41">
        <v>38.99</v>
      </c>
      <c r="E36" s="42">
        <v>73578</v>
      </c>
      <c r="F36" s="42">
        <f>ROUND(D36*E36,0)</f>
        <v>2868806</v>
      </c>
      <c r="G36" s="48" t="s">
        <v>92</v>
      </c>
      <c r="H36" s="53">
        <f>93.65+7.3</f>
        <v>100.95</v>
      </c>
      <c r="I36" s="53">
        <v>7.3</v>
      </c>
      <c r="J36" s="54">
        <v>0.2</v>
      </c>
      <c r="K36" s="62">
        <f>+H36*I36*J36</f>
        <v>147.38700000000003</v>
      </c>
      <c r="L36" s="49">
        <f>+K36</f>
        <v>147.38700000000003</v>
      </c>
      <c r="M36" s="51" t="s">
        <v>93</v>
      </c>
    </row>
    <row r="37" spans="1:13" x14ac:dyDescent="0.25">
      <c r="A37" s="39">
        <v>7</v>
      </c>
      <c r="B37" s="57" t="s">
        <v>94</v>
      </c>
      <c r="C37" s="39"/>
      <c r="D37" s="41"/>
      <c r="E37" s="42"/>
      <c r="F37" s="42"/>
      <c r="G37" s="64" t="s">
        <v>95</v>
      </c>
      <c r="H37" s="14">
        <v>93.65</v>
      </c>
      <c r="I37" s="14">
        <v>0.85</v>
      </c>
      <c r="J37" s="65">
        <v>0.40500000000000003</v>
      </c>
      <c r="K37" s="50">
        <f>+H37*I37*J37</f>
        <v>32.239012500000001</v>
      </c>
      <c r="L37" s="66"/>
      <c r="M37" s="67"/>
    </row>
    <row r="38" spans="1:13" ht="24.75" x14ac:dyDescent="0.25">
      <c r="A38" s="39" t="s">
        <v>96</v>
      </c>
      <c r="B38" s="43" t="s">
        <v>97</v>
      </c>
      <c r="C38" s="39" t="s">
        <v>98</v>
      </c>
      <c r="D38" s="41">
        <v>45</v>
      </c>
      <c r="E38" s="42">
        <v>10500</v>
      </c>
      <c r="F38" s="42">
        <f t="shared" ref="F38:F45" si="6">ROUND(D38*E38,0)</f>
        <v>472500</v>
      </c>
      <c r="G38" s="63" t="s">
        <v>99</v>
      </c>
      <c r="H38" s="14">
        <f>4.5*10</f>
        <v>45</v>
      </c>
      <c r="I38" s="14">
        <v>0.6</v>
      </c>
      <c r="J38" s="14">
        <v>0.25</v>
      </c>
      <c r="K38" s="50">
        <f t="shared" ref="K38" si="7">+H38*I38*J38</f>
        <v>6.75</v>
      </c>
      <c r="L38" s="49">
        <f>+K37+K38</f>
        <v>38.989012500000001</v>
      </c>
      <c r="M38" s="51" t="s">
        <v>100</v>
      </c>
    </row>
    <row r="39" spans="1:13" ht="24.75" x14ac:dyDescent="0.25">
      <c r="A39" s="39">
        <v>7.2</v>
      </c>
      <c r="B39" s="43" t="s">
        <v>101</v>
      </c>
      <c r="C39" s="39" t="s">
        <v>98</v>
      </c>
      <c r="D39" s="41">
        <v>24</v>
      </c>
      <c r="E39" s="42">
        <v>17200</v>
      </c>
      <c r="F39" s="42">
        <f t="shared" si="6"/>
        <v>412800</v>
      </c>
      <c r="G39" s="13" t="s">
        <v>102</v>
      </c>
      <c r="H39" s="14">
        <v>10</v>
      </c>
      <c r="I39" s="14">
        <v>4.5</v>
      </c>
      <c r="J39" s="14"/>
      <c r="K39" s="64">
        <f>+H39*I39</f>
        <v>45</v>
      </c>
      <c r="L39" s="44" t="s">
        <v>96</v>
      </c>
    </row>
    <row r="40" spans="1:13" ht="24.75" x14ac:dyDescent="0.25">
      <c r="A40" s="39" t="s">
        <v>103</v>
      </c>
      <c r="B40" s="43" t="s">
        <v>104</v>
      </c>
      <c r="C40" s="39" t="s">
        <v>98</v>
      </c>
      <c r="D40" s="41">
        <v>93.65</v>
      </c>
      <c r="E40" s="42">
        <v>20640</v>
      </c>
      <c r="F40" s="42">
        <f t="shared" si="6"/>
        <v>1932936</v>
      </c>
      <c r="G40" s="13" t="s">
        <v>105</v>
      </c>
      <c r="H40" s="14">
        <v>4</v>
      </c>
      <c r="I40" s="14">
        <v>6</v>
      </c>
      <c r="J40" s="14"/>
      <c r="K40" s="64">
        <f>+H40*I40</f>
        <v>24</v>
      </c>
      <c r="L40" s="44" t="s">
        <v>106</v>
      </c>
    </row>
    <row r="41" spans="1:13" x14ac:dyDescent="0.25">
      <c r="A41" s="39" t="s">
        <v>107</v>
      </c>
      <c r="B41" s="43" t="s">
        <v>108</v>
      </c>
      <c r="C41" s="39" t="s">
        <v>46</v>
      </c>
      <c r="D41" s="41">
        <v>4</v>
      </c>
      <c r="E41" s="42">
        <v>78135</v>
      </c>
      <c r="F41" s="42">
        <f t="shared" si="6"/>
        <v>312540</v>
      </c>
      <c r="G41" s="13" t="s">
        <v>109</v>
      </c>
      <c r="H41" s="14">
        <v>53</v>
      </c>
      <c r="I41" s="14">
        <v>40.65</v>
      </c>
      <c r="J41" s="14"/>
      <c r="K41" s="64">
        <f>+H41+I41</f>
        <v>93.65</v>
      </c>
      <c r="L41" s="44" t="s">
        <v>103</v>
      </c>
    </row>
    <row r="42" spans="1:13" x14ac:dyDescent="0.25">
      <c r="A42" s="39" t="s">
        <v>110</v>
      </c>
      <c r="B42" s="43" t="s">
        <v>111</v>
      </c>
      <c r="C42" s="39" t="s">
        <v>46</v>
      </c>
      <c r="D42" s="41">
        <v>5</v>
      </c>
      <c r="E42" s="42">
        <v>52165</v>
      </c>
      <c r="F42" s="42">
        <f t="shared" si="6"/>
        <v>260825</v>
      </c>
      <c r="G42" s="13" t="s">
        <v>112</v>
      </c>
      <c r="H42" s="14">
        <v>4</v>
      </c>
      <c r="I42" s="14"/>
      <c r="J42" s="14"/>
      <c r="K42" s="64">
        <f>SUM(H42:J42)</f>
        <v>4</v>
      </c>
      <c r="L42" s="44" t="s">
        <v>107</v>
      </c>
    </row>
    <row r="43" spans="1:13" x14ac:dyDescent="0.25">
      <c r="A43" s="39" t="s">
        <v>113</v>
      </c>
      <c r="B43" s="43" t="s">
        <v>114</v>
      </c>
      <c r="C43" s="39" t="s">
        <v>98</v>
      </c>
      <c r="D43" s="41">
        <v>0</v>
      </c>
      <c r="E43" s="42">
        <v>526336</v>
      </c>
      <c r="F43" s="42">
        <f t="shared" si="6"/>
        <v>0</v>
      </c>
      <c r="G43" s="14" t="s">
        <v>115</v>
      </c>
      <c r="H43" s="14">
        <v>5</v>
      </c>
      <c r="I43" s="14"/>
      <c r="J43" s="14"/>
      <c r="K43" s="14">
        <f>+H43+I43+J43</f>
        <v>5</v>
      </c>
      <c r="L43" s="11" t="s">
        <v>110</v>
      </c>
    </row>
    <row r="44" spans="1:13" x14ac:dyDescent="0.25">
      <c r="A44" s="39" t="s">
        <v>116</v>
      </c>
      <c r="B44" s="43" t="s">
        <v>117</v>
      </c>
      <c r="C44" s="39" t="s">
        <v>46</v>
      </c>
      <c r="D44" s="41">
        <v>0</v>
      </c>
      <c r="E44" s="42">
        <v>441688</v>
      </c>
      <c r="F44" s="42">
        <f t="shared" si="6"/>
        <v>0</v>
      </c>
      <c r="G44" s="4"/>
      <c r="H44" s="4" t="s">
        <v>118</v>
      </c>
      <c r="I44" s="4" t="s">
        <v>119</v>
      </c>
      <c r="J44" s="4"/>
      <c r="K44" s="4"/>
      <c r="L44" s="4"/>
    </row>
    <row r="45" spans="1:13" x14ac:dyDescent="0.25">
      <c r="A45" s="39" t="s">
        <v>120</v>
      </c>
      <c r="B45" s="43" t="s">
        <v>121</v>
      </c>
      <c r="C45" s="39" t="s">
        <v>46</v>
      </c>
      <c r="D45" s="41">
        <v>2</v>
      </c>
      <c r="E45" s="42">
        <v>432292</v>
      </c>
      <c r="F45" s="42">
        <f t="shared" si="6"/>
        <v>864584</v>
      </c>
      <c r="G45" s="14" t="s">
        <v>122</v>
      </c>
      <c r="H45" s="14">
        <v>1</v>
      </c>
      <c r="I45" s="14">
        <v>1</v>
      </c>
      <c r="J45" s="14"/>
      <c r="K45" s="14">
        <f>+H45+I45+J45</f>
        <v>2</v>
      </c>
      <c r="L45" s="68" t="s">
        <v>120</v>
      </c>
    </row>
    <row r="46" spans="1:13" ht="24.75" x14ac:dyDescent="0.25">
      <c r="A46" s="39" t="s">
        <v>123</v>
      </c>
      <c r="B46" s="43" t="s">
        <v>124</v>
      </c>
      <c r="C46" s="39" t="s">
        <v>52</v>
      </c>
      <c r="D46" s="41">
        <v>10</v>
      </c>
      <c r="E46" s="42">
        <v>315333</v>
      </c>
      <c r="F46" s="42">
        <f>ROUND(D46*E46,0)</f>
        <v>3153330</v>
      </c>
      <c r="G46" s="13" t="s">
        <v>125</v>
      </c>
      <c r="H46" s="14">
        <v>10</v>
      </c>
      <c r="I46" s="14"/>
      <c r="J46" s="14"/>
      <c r="K46" s="14">
        <v>10</v>
      </c>
      <c r="L46" s="69" t="s">
        <v>123</v>
      </c>
    </row>
    <row r="47" spans="1:13" ht="48.75" x14ac:dyDescent="0.25">
      <c r="A47" s="39" t="s">
        <v>126</v>
      </c>
      <c r="B47" s="70" t="s">
        <v>127</v>
      </c>
      <c r="C47" s="39" t="s">
        <v>46</v>
      </c>
      <c r="D47" s="41">
        <v>4</v>
      </c>
      <c r="E47" s="42">
        <v>1410562</v>
      </c>
      <c r="F47" s="42">
        <f>ROUND(D47*E47,0)</f>
        <v>5642248</v>
      </c>
      <c r="G47" s="13" t="s">
        <v>128</v>
      </c>
      <c r="H47" s="14">
        <v>4</v>
      </c>
      <c r="I47" s="14"/>
      <c r="J47" s="14"/>
      <c r="K47" s="14">
        <v>4</v>
      </c>
      <c r="L47" s="69" t="s">
        <v>126</v>
      </c>
    </row>
    <row r="48" spans="1:13" ht="36.75" x14ac:dyDescent="0.25">
      <c r="A48" s="39" t="s">
        <v>129</v>
      </c>
      <c r="B48" s="43" t="s">
        <v>130</v>
      </c>
      <c r="C48" s="39" t="s">
        <v>46</v>
      </c>
      <c r="D48" s="41">
        <v>2</v>
      </c>
      <c r="E48" s="42">
        <v>586290</v>
      </c>
      <c r="F48" s="42">
        <f>ROUND(D48*E48,0)</f>
        <v>1172580</v>
      </c>
      <c r="G48" s="71" t="s">
        <v>131</v>
      </c>
      <c r="H48" s="14">
        <v>2</v>
      </c>
      <c r="I48" s="14"/>
      <c r="J48" s="14"/>
      <c r="K48" s="14"/>
      <c r="L48" s="4"/>
    </row>
    <row r="49" spans="1:13" x14ac:dyDescent="0.25">
      <c r="A49" s="39" t="s">
        <v>132</v>
      </c>
      <c r="B49" s="43" t="s">
        <v>133</v>
      </c>
      <c r="C49" s="39" t="s">
        <v>46</v>
      </c>
      <c r="D49" s="41">
        <v>10</v>
      </c>
      <c r="E49" s="42">
        <v>49879</v>
      </c>
      <c r="F49" s="42">
        <f>ROUND(D49*E49,0)</f>
        <v>498790</v>
      </c>
      <c r="G49" s="13" t="s">
        <v>134</v>
      </c>
      <c r="H49" s="14"/>
      <c r="I49" s="14"/>
      <c r="J49" s="14"/>
      <c r="K49" s="14"/>
      <c r="L49" s="4"/>
    </row>
    <row r="50" spans="1:13" x14ac:dyDescent="0.25">
      <c r="A50" s="39">
        <v>8</v>
      </c>
      <c r="B50" s="57" t="s">
        <v>135</v>
      </c>
      <c r="C50" s="39"/>
      <c r="D50" s="41"/>
      <c r="E50" s="42"/>
      <c r="F50" s="42"/>
      <c r="G50" s="4"/>
      <c r="H50" s="4"/>
      <c r="I50" s="4"/>
      <c r="J50" s="4"/>
      <c r="K50" s="4"/>
      <c r="L50" s="4"/>
    </row>
    <row r="51" spans="1:13" x14ac:dyDescent="0.25">
      <c r="A51" s="39" t="s">
        <v>136</v>
      </c>
      <c r="B51" s="43" t="s">
        <v>137</v>
      </c>
      <c r="C51" s="39" t="s">
        <v>98</v>
      </c>
      <c r="D51" s="45">
        <v>100</v>
      </c>
      <c r="E51" s="42">
        <v>10717</v>
      </c>
      <c r="F51" s="42">
        <f t="shared" ref="F51:F58" si="8">ROUND(D51*E51,0)</f>
        <v>1071700</v>
      </c>
      <c r="G51" s="14" t="s">
        <v>138</v>
      </c>
      <c r="H51" s="14">
        <v>93.65</v>
      </c>
      <c r="I51" s="14">
        <v>2</v>
      </c>
      <c r="J51" s="14"/>
      <c r="K51" s="14">
        <f>+H51*I51</f>
        <v>187.3</v>
      </c>
      <c r="L51" s="4"/>
    </row>
    <row r="52" spans="1:13" ht="41.25" customHeight="1" x14ac:dyDescent="0.25">
      <c r="A52" s="39" t="s">
        <v>139</v>
      </c>
      <c r="B52" s="72" t="s">
        <v>140</v>
      </c>
      <c r="C52" s="39" t="s">
        <v>57</v>
      </c>
      <c r="D52" s="45">
        <v>132.65</v>
      </c>
      <c r="E52" s="42">
        <v>621118</v>
      </c>
      <c r="F52" s="42">
        <f t="shared" si="8"/>
        <v>82391303</v>
      </c>
      <c r="G52" s="14" t="s">
        <v>141</v>
      </c>
      <c r="H52" s="14">
        <v>45</v>
      </c>
      <c r="I52" s="14">
        <v>2</v>
      </c>
      <c r="J52" s="14"/>
      <c r="K52" s="14">
        <f>+H52*I52</f>
        <v>90</v>
      </c>
      <c r="L52" s="4"/>
    </row>
    <row r="53" spans="1:13" ht="36" x14ac:dyDescent="0.25">
      <c r="A53" s="39" t="s">
        <v>142</v>
      </c>
      <c r="B53" s="72" t="s">
        <v>143</v>
      </c>
      <c r="C53" s="39" t="s">
        <v>57</v>
      </c>
      <c r="D53" s="41">
        <v>0</v>
      </c>
      <c r="E53" s="42">
        <v>972847</v>
      </c>
      <c r="F53" s="42">
        <f t="shared" si="8"/>
        <v>0</v>
      </c>
      <c r="G53" s="14" t="s">
        <v>144</v>
      </c>
      <c r="H53" s="14">
        <v>2.8</v>
      </c>
      <c r="I53" s="14">
        <v>10</v>
      </c>
      <c r="J53" s="14"/>
      <c r="K53" s="14">
        <f>+H53*I53</f>
        <v>28</v>
      </c>
      <c r="L53" s="14">
        <f>+K51+K52+K53</f>
        <v>305.3</v>
      </c>
      <c r="M53" s="51" t="s">
        <v>136</v>
      </c>
    </row>
    <row r="54" spans="1:13" ht="24.75" x14ac:dyDescent="0.25">
      <c r="A54" s="39" t="s">
        <v>145</v>
      </c>
      <c r="B54" s="73" t="s">
        <v>146</v>
      </c>
      <c r="C54" s="39" t="s">
        <v>57</v>
      </c>
      <c r="D54" s="41">
        <v>3.49</v>
      </c>
      <c r="E54" s="42">
        <v>572873</v>
      </c>
      <c r="F54" s="42">
        <f t="shared" si="8"/>
        <v>1999327</v>
      </c>
      <c r="G54" s="14" t="s">
        <v>147</v>
      </c>
      <c r="H54" s="14">
        <f>93.65+7.3</f>
        <v>100.95</v>
      </c>
      <c r="I54" s="14">
        <v>7.3</v>
      </c>
      <c r="J54" s="14">
        <v>0.18</v>
      </c>
      <c r="K54" s="49">
        <f>+H54*I54*J54</f>
        <v>132.64830000000001</v>
      </c>
      <c r="L54" s="68" t="s">
        <v>139</v>
      </c>
    </row>
    <row r="55" spans="1:13" ht="36" x14ac:dyDescent="0.25">
      <c r="A55" s="39" t="s">
        <v>148</v>
      </c>
      <c r="B55" s="72" t="s">
        <v>149</v>
      </c>
      <c r="C55" s="39" t="s">
        <v>57</v>
      </c>
      <c r="D55" s="41">
        <v>0</v>
      </c>
      <c r="E55" s="42">
        <v>687853</v>
      </c>
      <c r="F55" s="42">
        <f t="shared" si="8"/>
        <v>0</v>
      </c>
      <c r="G55" s="14" t="s">
        <v>58</v>
      </c>
      <c r="H55" s="53">
        <f>0.7*0.7</f>
        <v>0.48999999999999994</v>
      </c>
      <c r="I55" s="53">
        <v>10</v>
      </c>
      <c r="J55" s="54">
        <v>0.1</v>
      </c>
      <c r="K55" s="53">
        <f t="shared" ref="K55:K56" si="9">+H55*I55*J55</f>
        <v>0.49</v>
      </c>
      <c r="L55" s="4"/>
    </row>
    <row r="56" spans="1:13" ht="36.75" x14ac:dyDescent="0.25">
      <c r="A56" s="39" t="s">
        <v>150</v>
      </c>
      <c r="B56" s="43" t="s">
        <v>151</v>
      </c>
      <c r="C56" s="39" t="s">
        <v>152</v>
      </c>
      <c r="D56" s="45">
        <v>898</v>
      </c>
      <c r="E56" s="42">
        <v>5340</v>
      </c>
      <c r="F56" s="42">
        <f t="shared" si="8"/>
        <v>4795320</v>
      </c>
      <c r="G56" s="25" t="s">
        <v>60</v>
      </c>
      <c r="H56" s="14">
        <f>6*5</f>
        <v>30</v>
      </c>
      <c r="I56" s="14">
        <v>1</v>
      </c>
      <c r="J56" s="49">
        <v>0.1</v>
      </c>
      <c r="K56" s="56">
        <f t="shared" si="9"/>
        <v>3</v>
      </c>
      <c r="L56" s="14">
        <f>+K55+K56</f>
        <v>3.49</v>
      </c>
      <c r="M56" s="51">
        <v>8.4</v>
      </c>
    </row>
    <row r="57" spans="1:13" ht="24.75" x14ac:dyDescent="0.25">
      <c r="A57" s="39" t="s">
        <v>153</v>
      </c>
      <c r="B57" s="43" t="s">
        <v>154</v>
      </c>
      <c r="C57" s="39" t="s">
        <v>98</v>
      </c>
      <c r="D57" s="45">
        <v>327.60000000000002</v>
      </c>
      <c r="E57" s="42">
        <v>7220</v>
      </c>
      <c r="F57" s="42">
        <f t="shared" si="8"/>
        <v>2365272</v>
      </c>
      <c r="G57" s="14" t="s">
        <v>155</v>
      </c>
      <c r="H57" s="14">
        <v>94</v>
      </c>
      <c r="I57" s="14">
        <f>24*7.3</f>
        <v>175.2</v>
      </c>
      <c r="J57" s="14">
        <f>7.3*8</f>
        <v>58.4</v>
      </c>
      <c r="K57" s="14">
        <f>SUM(H57:J57)</f>
        <v>327.59999999999997</v>
      </c>
      <c r="L57" s="4"/>
    </row>
    <row r="58" spans="1:13" x14ac:dyDescent="0.25">
      <c r="A58" s="39" t="s">
        <v>156</v>
      </c>
      <c r="B58" s="43" t="s">
        <v>157</v>
      </c>
      <c r="C58" s="39" t="s">
        <v>152</v>
      </c>
      <c r="D58" s="45">
        <v>3302</v>
      </c>
      <c r="E58" s="42">
        <v>4120</v>
      </c>
      <c r="F58" s="42">
        <f t="shared" si="8"/>
        <v>13604240</v>
      </c>
      <c r="G58" s="18"/>
      <c r="H58" s="18"/>
      <c r="I58" s="18"/>
      <c r="J58" s="18"/>
      <c r="K58" s="18"/>
      <c r="L58" s="4"/>
    </row>
    <row r="59" spans="1:13" x14ac:dyDescent="0.25">
      <c r="A59" s="39">
        <v>9</v>
      </c>
      <c r="B59" s="43" t="s">
        <v>158</v>
      </c>
      <c r="C59" s="39"/>
      <c r="D59" s="41"/>
      <c r="E59" s="42"/>
      <c r="F59" s="42"/>
      <c r="G59" s="4"/>
      <c r="H59" s="4"/>
      <c r="I59" s="4"/>
      <c r="J59" s="4"/>
      <c r="K59" s="4"/>
      <c r="L59" s="4"/>
    </row>
    <row r="60" spans="1:13" ht="24.75" x14ac:dyDescent="0.25">
      <c r="A60" s="39" t="s">
        <v>159</v>
      </c>
      <c r="B60" s="43" t="s">
        <v>160</v>
      </c>
      <c r="C60" s="39" t="s">
        <v>161</v>
      </c>
      <c r="D60" s="41">
        <v>1</v>
      </c>
      <c r="E60" s="42">
        <v>1870985</v>
      </c>
      <c r="F60" s="42">
        <f>ROUND(D60*E60,0)</f>
        <v>1870985</v>
      </c>
      <c r="G60" s="4"/>
      <c r="H60" s="4" t="s">
        <v>162</v>
      </c>
      <c r="I60" s="4"/>
      <c r="J60" s="4"/>
      <c r="K60" s="4"/>
      <c r="L60" s="4"/>
    </row>
    <row r="61" spans="1:13" x14ac:dyDescent="0.25">
      <c r="A61" s="39">
        <v>10</v>
      </c>
      <c r="B61" s="43" t="s">
        <v>163</v>
      </c>
      <c r="C61" s="39"/>
      <c r="D61" s="41"/>
      <c r="E61" s="42"/>
      <c r="F61" s="42"/>
      <c r="G61" s="4"/>
      <c r="H61" s="4"/>
      <c r="I61" s="4"/>
      <c r="J61" s="4"/>
      <c r="K61" s="4"/>
      <c r="L61" s="4"/>
    </row>
    <row r="62" spans="1:13" ht="36.75" x14ac:dyDescent="0.25">
      <c r="A62" s="39" t="s">
        <v>164</v>
      </c>
      <c r="B62" s="43" t="s">
        <v>165</v>
      </c>
      <c r="C62" s="39" t="s">
        <v>98</v>
      </c>
      <c r="D62" s="41">
        <v>94</v>
      </c>
      <c r="E62" s="42">
        <v>55839</v>
      </c>
      <c r="F62" s="42">
        <f>ROUND(D62*E62,0)</f>
        <v>5248866</v>
      </c>
      <c r="G62" s="4"/>
      <c r="H62" s="4"/>
      <c r="I62" s="4"/>
      <c r="J62" s="4"/>
      <c r="K62" s="4"/>
      <c r="L62" s="4"/>
    </row>
    <row r="63" spans="1:13" ht="48.75" x14ac:dyDescent="0.25">
      <c r="A63" s="39">
        <v>10.199999999999999</v>
      </c>
      <c r="B63" s="43" t="s">
        <v>166</v>
      </c>
      <c r="C63" s="39" t="s">
        <v>167</v>
      </c>
      <c r="D63" s="41">
        <v>4</v>
      </c>
      <c r="E63" s="42">
        <v>1700000</v>
      </c>
      <c r="F63" s="42">
        <f>ROUND(D63*E63,0)</f>
        <v>6800000</v>
      </c>
      <c r="G63" s="4"/>
      <c r="H63" s="4" t="s">
        <v>168</v>
      </c>
      <c r="I63" s="4"/>
      <c r="J63" s="4"/>
      <c r="K63" s="4"/>
      <c r="L63" s="4"/>
    </row>
    <row r="64" spans="1:13" ht="24.75" x14ac:dyDescent="0.25">
      <c r="A64" s="39" t="s">
        <v>169</v>
      </c>
      <c r="B64" s="43" t="s">
        <v>170</v>
      </c>
      <c r="C64" s="39" t="s">
        <v>98</v>
      </c>
      <c r="D64" s="41">
        <v>94</v>
      </c>
      <c r="E64" s="42">
        <v>32652</v>
      </c>
      <c r="F64" s="42">
        <f>ROUND(D64*E64,0)</f>
        <v>3069288</v>
      </c>
      <c r="G64" s="4"/>
      <c r="H64" s="4"/>
      <c r="I64" s="4"/>
      <c r="J64" s="4"/>
      <c r="K64" s="4"/>
      <c r="L64" s="4"/>
    </row>
    <row r="65" spans="1:12" x14ac:dyDescent="0.25">
      <c r="A65" s="74"/>
      <c r="B65" s="75"/>
      <c r="C65" s="74"/>
      <c r="D65" s="76"/>
      <c r="E65" s="77"/>
      <c r="F65" s="77"/>
      <c r="G65" s="4"/>
      <c r="H65" s="4"/>
      <c r="I65" s="4"/>
      <c r="J65" s="4"/>
      <c r="K65" s="4"/>
      <c r="L65" s="4"/>
    </row>
    <row r="66" spans="1:12" ht="15.75" thickBot="1" x14ac:dyDescent="0.3">
      <c r="A66" s="22"/>
      <c r="B66" s="78"/>
      <c r="C66" s="74"/>
      <c r="D66" s="74"/>
      <c r="E66" s="77"/>
      <c r="F66" s="77"/>
      <c r="G66" s="4"/>
      <c r="H66" s="4"/>
      <c r="I66" s="4"/>
      <c r="J66" s="4"/>
      <c r="K66" s="4"/>
      <c r="L66" s="4"/>
    </row>
    <row r="67" spans="1:12" ht="15.75" thickBot="1" x14ac:dyDescent="0.3">
      <c r="A67" s="79"/>
      <c r="B67" s="80" t="s">
        <v>171</v>
      </c>
      <c r="C67" s="81"/>
      <c r="D67" s="82"/>
      <c r="E67" s="83"/>
      <c r="F67" s="84">
        <f>SUM(F14:F64)</f>
        <v>191505165</v>
      </c>
      <c r="G67" s="85"/>
      <c r="H67" s="85">
        <v>191505165</v>
      </c>
      <c r="I67" s="4"/>
      <c r="J67" s="85">
        <f>+H67-F67</f>
        <v>0</v>
      </c>
      <c r="K67" s="4"/>
      <c r="L67" s="4"/>
    </row>
    <row r="68" spans="1:12" x14ac:dyDescent="0.25">
      <c r="A68" s="22"/>
      <c r="B68" s="86"/>
      <c r="C68" s="87"/>
      <c r="D68" s="87"/>
      <c r="E68" s="88"/>
      <c r="F68" s="89"/>
      <c r="G68" s="4"/>
      <c r="H68" s="4"/>
      <c r="I68" s="4"/>
      <c r="J68" s="4"/>
      <c r="K68" s="4"/>
      <c r="L68" s="4"/>
    </row>
    <row r="69" spans="1:12" x14ac:dyDescent="0.25">
      <c r="A69" s="79"/>
      <c r="B69" s="47" t="s">
        <v>172</v>
      </c>
      <c r="C69" s="39" t="s">
        <v>173</v>
      </c>
      <c r="D69" s="39">
        <v>25</v>
      </c>
      <c r="E69" s="42">
        <f>+F67</f>
        <v>191505165</v>
      </c>
      <c r="F69" s="42">
        <f>+D69*E69/100</f>
        <v>47876291.25</v>
      </c>
      <c r="G69" s="4"/>
      <c r="H69" s="4"/>
      <c r="I69" s="4"/>
      <c r="J69" s="4"/>
      <c r="K69" s="4"/>
      <c r="L69" s="4"/>
    </row>
    <row r="70" spans="1:12" x14ac:dyDescent="0.25">
      <c r="A70" s="79"/>
      <c r="B70" s="47" t="s">
        <v>174</v>
      </c>
      <c r="C70" s="39" t="s">
        <v>173</v>
      </c>
      <c r="D70" s="39">
        <v>2</v>
      </c>
      <c r="E70" s="42">
        <f>+F67</f>
        <v>191505165</v>
      </c>
      <c r="F70" s="42">
        <f>+D70*E70/100</f>
        <v>3830103.3</v>
      </c>
      <c r="G70" s="4"/>
      <c r="H70" s="4"/>
      <c r="I70" s="4"/>
      <c r="J70" s="4"/>
      <c r="K70" s="4"/>
      <c r="L70" s="4"/>
    </row>
    <row r="71" spans="1:12" x14ac:dyDescent="0.25">
      <c r="A71" s="79"/>
      <c r="B71" s="47" t="s">
        <v>175</v>
      </c>
      <c r="C71" s="39" t="s">
        <v>173</v>
      </c>
      <c r="D71" s="39">
        <v>5</v>
      </c>
      <c r="E71" s="42">
        <f>+F67</f>
        <v>191505165</v>
      </c>
      <c r="F71" s="42">
        <f>+D71*E71/100</f>
        <v>9575258.25</v>
      </c>
      <c r="G71" s="85"/>
      <c r="H71" s="85"/>
      <c r="I71" s="85"/>
      <c r="J71" s="85"/>
      <c r="K71" s="4"/>
      <c r="L71" s="4"/>
    </row>
    <row r="72" spans="1:12" x14ac:dyDescent="0.25">
      <c r="A72" s="22"/>
      <c r="B72" s="90"/>
      <c r="C72" s="91"/>
      <c r="D72" s="91"/>
      <c r="E72" s="92"/>
      <c r="F72" s="92"/>
      <c r="G72" s="85"/>
      <c r="H72" s="85"/>
      <c r="I72" s="85"/>
      <c r="J72" s="85"/>
      <c r="K72" s="4"/>
      <c r="L72" s="4"/>
    </row>
    <row r="73" spans="1:12" x14ac:dyDescent="0.25">
      <c r="A73" s="79"/>
      <c r="B73" s="47" t="s">
        <v>176</v>
      </c>
      <c r="C73" s="39"/>
      <c r="D73" s="39"/>
      <c r="E73" s="42"/>
      <c r="F73" s="42">
        <f>+F67+F69+F70+F71</f>
        <v>252786817.80000001</v>
      </c>
      <c r="G73" s="85"/>
      <c r="H73" s="85"/>
      <c r="I73" s="85"/>
      <c r="J73" s="85"/>
      <c r="K73" s="4"/>
      <c r="L73" s="4"/>
    </row>
    <row r="74" spans="1:12" x14ac:dyDescent="0.25">
      <c r="A74" s="93"/>
      <c r="B74" s="47" t="s">
        <v>177</v>
      </c>
      <c r="C74" s="39" t="s">
        <v>173</v>
      </c>
      <c r="D74" s="39">
        <v>19</v>
      </c>
      <c r="E74" s="42">
        <f>+F71</f>
        <v>9575258.25</v>
      </c>
      <c r="F74" s="42">
        <f>+D74*E74/100</f>
        <v>1819299.0674999999</v>
      </c>
      <c r="G74" s="85"/>
      <c r="H74" s="85"/>
      <c r="I74" s="85"/>
      <c r="J74" s="85"/>
    </row>
    <row r="75" spans="1:12" x14ac:dyDescent="0.25">
      <c r="A75" s="22"/>
      <c r="B75" s="94"/>
      <c r="C75" s="95"/>
      <c r="D75" s="95"/>
      <c r="E75" s="96"/>
      <c r="F75" s="97"/>
      <c r="G75" s="85"/>
      <c r="H75" s="85"/>
      <c r="I75" s="85"/>
      <c r="J75" s="85"/>
    </row>
    <row r="76" spans="1:12" x14ac:dyDescent="0.25">
      <c r="B76" s="98" t="s">
        <v>178</v>
      </c>
      <c r="C76" s="99"/>
      <c r="D76" s="22"/>
      <c r="E76" s="100"/>
      <c r="F76" s="101">
        <f>+F74+F73</f>
        <v>254606116.86750001</v>
      </c>
      <c r="G76" s="85"/>
      <c r="H76" s="85">
        <v>254606117</v>
      </c>
      <c r="I76" s="85"/>
      <c r="J76" s="85">
        <f>+H76-F76</f>
        <v>0.13249999284744263</v>
      </c>
    </row>
    <row r="77" spans="1:12" x14ac:dyDescent="0.25">
      <c r="B77" s="102"/>
      <c r="C77" s="22"/>
      <c r="D77" s="22"/>
      <c r="E77" s="103"/>
      <c r="F77" s="104"/>
      <c r="G77" s="85"/>
      <c r="H77" s="85"/>
      <c r="I77" s="85"/>
      <c r="J77" s="85">
        <v>39</v>
      </c>
    </row>
    <row r="78" spans="1:12" x14ac:dyDescent="0.25">
      <c r="B78" s="102"/>
      <c r="C78" s="22"/>
      <c r="D78" s="22"/>
      <c r="E78" s="103"/>
      <c r="F78" s="104"/>
      <c r="G78" s="85"/>
      <c r="H78" s="85"/>
      <c r="I78" s="85"/>
      <c r="J78" s="85"/>
    </row>
    <row r="79" spans="1:12" x14ac:dyDescent="0.25">
      <c r="B79" s="102"/>
      <c r="C79" s="22"/>
      <c r="D79" s="22"/>
      <c r="E79" s="103"/>
      <c r="F79" s="104"/>
      <c r="G79" s="85"/>
      <c r="H79" s="85"/>
      <c r="I79" s="85"/>
      <c r="J79" s="85"/>
    </row>
    <row r="80" spans="1:12" x14ac:dyDescent="0.25">
      <c r="B80" s="102"/>
      <c r="C80" s="22"/>
      <c r="D80" s="22"/>
      <c r="E80" s="103"/>
      <c r="F80" s="104"/>
      <c r="G80" s="85"/>
      <c r="H80" s="85"/>
      <c r="I80" s="85"/>
      <c r="J80" s="85"/>
    </row>
    <row r="81" spans="2:10" x14ac:dyDescent="0.25">
      <c r="B81" s="102"/>
      <c r="C81" s="22"/>
      <c r="D81" s="22"/>
      <c r="E81" s="103"/>
      <c r="F81" s="104"/>
      <c r="G81" s="85"/>
      <c r="H81" s="85"/>
      <c r="I81" s="85"/>
      <c r="J81" s="85"/>
    </row>
    <row r="82" spans="2:10" x14ac:dyDescent="0.25">
      <c r="B82" s="102"/>
      <c r="C82" s="22"/>
      <c r="D82" s="22"/>
      <c r="E82" s="103"/>
      <c r="F82" s="104"/>
      <c r="G82" s="85"/>
      <c r="H82" s="85"/>
      <c r="I82" s="85"/>
      <c r="J82" s="85"/>
    </row>
    <row r="83" spans="2:10" x14ac:dyDescent="0.25">
      <c r="B83" s="102"/>
      <c r="C83" s="22"/>
      <c r="D83" s="22"/>
      <c r="E83" s="103"/>
      <c r="F83" s="104"/>
      <c r="G83" s="85"/>
      <c r="H83" s="85"/>
      <c r="I83" s="85"/>
      <c r="J83" s="85"/>
    </row>
    <row r="84" spans="2:10" x14ac:dyDescent="0.25">
      <c r="B84" s="102"/>
      <c r="C84" s="22"/>
      <c r="D84" s="22"/>
      <c r="E84" s="103"/>
      <c r="F84" s="104"/>
      <c r="G84" s="85"/>
      <c r="H84" s="85"/>
      <c r="I84" s="85"/>
      <c r="J84" s="85"/>
    </row>
    <row r="85" spans="2:10" x14ac:dyDescent="0.25">
      <c r="B85" s="102"/>
      <c r="C85" s="22"/>
      <c r="D85" s="22"/>
      <c r="E85" s="103"/>
      <c r="F85" s="104"/>
      <c r="G85" s="85"/>
      <c r="H85" s="85"/>
      <c r="I85" s="85"/>
      <c r="J85" s="85"/>
    </row>
    <row r="86" spans="2:10" x14ac:dyDescent="0.25">
      <c r="B86" s="102"/>
      <c r="C86" s="22"/>
      <c r="D86" s="22"/>
      <c r="E86" s="103"/>
      <c r="F86" s="104"/>
      <c r="G86" s="85"/>
      <c r="H86" s="85"/>
      <c r="I86" s="85"/>
      <c r="J86" s="85"/>
    </row>
    <row r="87" spans="2:10" x14ac:dyDescent="0.25">
      <c r="B87" s="102"/>
      <c r="C87" s="22"/>
      <c r="D87" s="22"/>
      <c r="E87" s="103"/>
      <c r="F87" s="104"/>
      <c r="G87" s="85"/>
      <c r="H87" s="85"/>
      <c r="I87" s="85"/>
      <c r="J87" s="85"/>
    </row>
    <row r="88" spans="2:10" x14ac:dyDescent="0.25">
      <c r="B88" s="102"/>
      <c r="C88" s="22"/>
      <c r="D88" s="22"/>
      <c r="E88" s="103"/>
      <c r="F88" s="104"/>
      <c r="G88" s="85"/>
      <c r="H88" s="85"/>
      <c r="I88" s="85"/>
      <c r="J88" s="85"/>
    </row>
    <row r="89" spans="2:10" x14ac:dyDescent="0.25">
      <c r="B89" s="102"/>
      <c r="C89" s="22"/>
      <c r="D89" s="22"/>
      <c r="E89" s="103"/>
      <c r="F89" s="104"/>
      <c r="G89" s="85"/>
      <c r="H89" s="85"/>
      <c r="I89" s="85"/>
      <c r="J89" s="85"/>
    </row>
    <row r="90" spans="2:10" x14ac:dyDescent="0.25">
      <c r="B90" s="102"/>
      <c r="C90" s="22"/>
      <c r="D90" s="22"/>
      <c r="E90" s="103"/>
      <c r="F90" s="104"/>
      <c r="G90" s="85"/>
      <c r="H90" s="85"/>
      <c r="I90" s="85"/>
      <c r="J90" s="85"/>
    </row>
    <row r="91" spans="2:10" x14ac:dyDescent="0.25">
      <c r="B91" s="102"/>
      <c r="C91" s="22"/>
      <c r="D91" s="22"/>
      <c r="E91" s="103"/>
      <c r="F91" s="104"/>
    </row>
    <row r="92" spans="2:10" x14ac:dyDescent="0.25">
      <c r="B92" s="102"/>
      <c r="C92" s="22"/>
      <c r="D92" s="22"/>
      <c r="E92" s="103"/>
      <c r="F92" s="104"/>
    </row>
    <row r="93" spans="2:10" x14ac:dyDescent="0.25">
      <c r="B93" s="102"/>
      <c r="C93" s="22"/>
      <c r="D93" s="22"/>
      <c r="E93" s="103"/>
      <c r="F93" s="104"/>
    </row>
    <row r="94" spans="2:10" x14ac:dyDescent="0.25">
      <c r="B94" s="102"/>
      <c r="C94" s="22"/>
      <c r="D94" s="22"/>
      <c r="E94" s="103"/>
      <c r="F94" s="104"/>
    </row>
    <row r="95" spans="2:10" x14ac:dyDescent="0.25">
      <c r="B95" s="102"/>
      <c r="C95" s="22"/>
      <c r="D95" s="22"/>
      <c r="E95" s="103"/>
      <c r="F95" s="104"/>
    </row>
    <row r="96" spans="2:10" x14ac:dyDescent="0.25">
      <c r="B96" s="102"/>
      <c r="C96" s="22"/>
      <c r="D96" s="22"/>
      <c r="E96" s="103"/>
      <c r="F96" s="104"/>
    </row>
    <row r="97" spans="1:8" x14ac:dyDescent="0.25">
      <c r="B97" s="102"/>
      <c r="C97" s="22"/>
      <c r="D97" s="22"/>
      <c r="E97" s="103"/>
      <c r="F97" s="104"/>
    </row>
    <row r="98" spans="1:8" x14ac:dyDescent="0.25">
      <c r="B98" s="102"/>
      <c r="C98" s="22"/>
      <c r="D98" s="22"/>
      <c r="E98" s="103"/>
      <c r="F98" s="104"/>
    </row>
    <row r="99" spans="1:8" x14ac:dyDescent="0.25">
      <c r="E99" s="105"/>
      <c r="F99" s="105"/>
    </row>
    <row r="100" spans="1:8" x14ac:dyDescent="0.25">
      <c r="E100" s="105"/>
      <c r="F100" s="105"/>
    </row>
    <row r="101" spans="1:8" x14ac:dyDescent="0.25">
      <c r="A101" s="98" t="s">
        <v>179</v>
      </c>
      <c r="B101" s="98" t="s">
        <v>180</v>
      </c>
      <c r="E101" s="105"/>
      <c r="F101" s="105"/>
    </row>
    <row r="102" spans="1:8" x14ac:dyDescent="0.25">
      <c r="A102" s="106">
        <v>6587</v>
      </c>
      <c r="B102" s="107" t="s">
        <v>181</v>
      </c>
      <c r="C102" s="108" t="s">
        <v>98</v>
      </c>
      <c r="D102" s="41">
        <v>24</v>
      </c>
      <c r="E102" s="109">
        <v>52923</v>
      </c>
      <c r="F102" s="42">
        <f>ROUND(D102*E102,0)</f>
        <v>1270152</v>
      </c>
    </row>
    <row r="103" spans="1:8" x14ac:dyDescent="0.25">
      <c r="A103" s="108">
        <v>6589</v>
      </c>
      <c r="B103" s="110" t="s">
        <v>182</v>
      </c>
      <c r="C103" s="108" t="s">
        <v>98</v>
      </c>
      <c r="D103" s="41">
        <v>48</v>
      </c>
      <c r="E103" s="109">
        <v>26532</v>
      </c>
      <c r="F103" s="42">
        <f>ROUND(D103*E103,0)</f>
        <v>1273536</v>
      </c>
    </row>
    <row r="104" spans="1:8" x14ac:dyDescent="0.25">
      <c r="A104" s="108">
        <v>6962</v>
      </c>
      <c r="B104" s="110" t="s">
        <v>183</v>
      </c>
      <c r="C104" s="108" t="s">
        <v>98</v>
      </c>
      <c r="D104" s="41">
        <v>96</v>
      </c>
      <c r="E104" s="109">
        <v>78248</v>
      </c>
      <c r="F104" s="42">
        <f>ROUND(D104*E104,0)</f>
        <v>7511808</v>
      </c>
    </row>
    <row r="105" spans="1:8" x14ac:dyDescent="0.25">
      <c r="A105" s="108">
        <v>1649</v>
      </c>
      <c r="B105" s="110" t="s">
        <v>184</v>
      </c>
      <c r="C105" s="108" t="s">
        <v>52</v>
      </c>
      <c r="D105" s="108">
        <v>10</v>
      </c>
      <c r="E105" s="109">
        <v>113836</v>
      </c>
      <c r="F105" s="42">
        <f>ROUND(D105*E105,0)</f>
        <v>1138360</v>
      </c>
    </row>
    <row r="106" spans="1:8" x14ac:dyDescent="0.25">
      <c r="A106" s="108">
        <v>2087</v>
      </c>
      <c r="B106" s="111" t="s">
        <v>185</v>
      </c>
      <c r="C106" s="112" t="s">
        <v>186</v>
      </c>
      <c r="D106" s="113">
        <v>5</v>
      </c>
      <c r="E106" s="112">
        <v>87174</v>
      </c>
      <c r="F106" s="42">
        <f>ROUND(D106*E106,0)</f>
        <v>435870</v>
      </c>
    </row>
    <row r="107" spans="1:8" x14ac:dyDescent="0.25">
      <c r="B107" s="110" t="s">
        <v>187</v>
      </c>
      <c r="C107" s="95"/>
      <c r="D107" s="95"/>
      <c r="E107" s="96"/>
      <c r="F107" s="109">
        <f>SUM(F102:F106)</f>
        <v>11629726</v>
      </c>
    </row>
    <row r="108" spans="1:8" x14ac:dyDescent="0.25">
      <c r="B108" s="22"/>
      <c r="C108" s="114"/>
      <c r="D108" s="114"/>
      <c r="E108" s="115"/>
      <c r="F108" s="115"/>
    </row>
    <row r="109" spans="1:8" x14ac:dyDescent="0.25">
      <c r="B109" s="116" t="s">
        <v>188</v>
      </c>
      <c r="C109" s="117"/>
      <c r="D109" s="114"/>
      <c r="E109" s="115"/>
      <c r="F109" s="109">
        <f>+F107/1.19</f>
        <v>9772878.9915966392</v>
      </c>
    </row>
    <row r="110" spans="1:8" x14ac:dyDescent="0.25">
      <c r="B110" s="118" t="s">
        <v>189</v>
      </c>
      <c r="C110" s="108" t="s">
        <v>173</v>
      </c>
      <c r="D110" s="108">
        <v>19</v>
      </c>
      <c r="E110" s="115"/>
      <c r="F110" s="109">
        <f>+F109*0.19</f>
        <v>1856847.0084033615</v>
      </c>
      <c r="H110" s="105"/>
    </row>
    <row r="111" spans="1:8" ht="15.75" thickBot="1" x14ac:dyDescent="0.3">
      <c r="B111" s="22"/>
      <c r="C111" s="114"/>
      <c r="D111" s="114"/>
      <c r="E111" s="115"/>
      <c r="F111" s="115"/>
      <c r="H111" s="119">
        <v>197025796</v>
      </c>
    </row>
    <row r="112" spans="1:8" ht="16.5" thickTop="1" thickBot="1" x14ac:dyDescent="0.3">
      <c r="B112" s="120" t="s">
        <v>187</v>
      </c>
      <c r="C112" s="114"/>
      <c r="D112" s="114"/>
      <c r="E112" s="115"/>
      <c r="F112" s="121">
        <f>+F109+F110</f>
        <v>11629726</v>
      </c>
      <c r="H112" s="119">
        <v>57580321</v>
      </c>
    </row>
    <row r="113" spans="1:8" ht="15.75" thickTop="1" x14ac:dyDescent="0.25">
      <c r="A113" s="74"/>
      <c r="B113" s="75"/>
      <c r="C113" s="74"/>
      <c r="D113" s="76"/>
      <c r="E113" s="77"/>
      <c r="F113" s="77"/>
      <c r="H113" s="105"/>
    </row>
    <row r="114" spans="1:8" x14ac:dyDescent="0.25">
      <c r="A114" s="74"/>
      <c r="B114" s="98" t="s">
        <v>190</v>
      </c>
      <c r="C114" s="99"/>
      <c r="D114" s="22"/>
      <c r="E114" s="100"/>
      <c r="F114" s="101">
        <f>+F76+F107</f>
        <v>266235842.86750001</v>
      </c>
      <c r="H114" s="119">
        <f>SUM(H108:H113)</f>
        <v>254606117</v>
      </c>
    </row>
    <row r="115" spans="1:8" x14ac:dyDescent="0.25">
      <c r="A115" s="74"/>
      <c r="B115" s="75"/>
      <c r="C115" s="74"/>
      <c r="D115" s="76"/>
      <c r="E115" s="77"/>
      <c r="F115" s="77"/>
    </row>
    <row r="116" spans="1:8" x14ac:dyDescent="0.25">
      <c r="A116" s="74"/>
      <c r="B116" s="75" t="s">
        <v>191</v>
      </c>
      <c r="C116" s="74"/>
      <c r="D116" s="76"/>
      <c r="E116" s="77"/>
      <c r="F116" s="77"/>
    </row>
    <row r="117" spans="1:8" x14ac:dyDescent="0.25">
      <c r="A117" s="74"/>
      <c r="B117" s="75"/>
      <c r="C117" s="74"/>
      <c r="D117" s="76"/>
      <c r="E117" s="77"/>
      <c r="F117" s="77"/>
    </row>
    <row r="118" spans="1:8" x14ac:dyDescent="0.25">
      <c r="A118" s="74"/>
      <c r="B118" s="75"/>
      <c r="C118" s="74"/>
      <c r="D118" s="76"/>
      <c r="E118" s="77"/>
      <c r="F118" s="77"/>
    </row>
    <row r="119" spans="1:8" x14ac:dyDescent="0.25">
      <c r="A119" s="74"/>
      <c r="B119" s="75"/>
      <c r="C119" s="74"/>
      <c r="D119" s="76"/>
      <c r="E119" s="77"/>
      <c r="F119" s="77"/>
    </row>
    <row r="120" spans="1:8" x14ac:dyDescent="0.25">
      <c r="A120" s="74"/>
      <c r="B120" s="75" t="s">
        <v>192</v>
      </c>
      <c r="C120" s="74"/>
      <c r="D120" s="76"/>
      <c r="E120" s="77"/>
      <c r="F120" s="77"/>
    </row>
    <row r="121" spans="1:8" x14ac:dyDescent="0.25">
      <c r="A121" s="74"/>
      <c r="B121" s="75" t="s">
        <v>193</v>
      </c>
      <c r="C121" s="74"/>
      <c r="D121" s="76"/>
      <c r="E121" s="77"/>
      <c r="F121" s="77"/>
    </row>
    <row r="122" spans="1:8" x14ac:dyDescent="0.25">
      <c r="A122" s="74"/>
      <c r="B122" s="75" t="s">
        <v>194</v>
      </c>
      <c r="C122" s="74"/>
      <c r="D122" s="76"/>
      <c r="E122" s="77"/>
      <c r="F122" s="77"/>
    </row>
  </sheetData>
  <mergeCells count="5">
    <mergeCell ref="A1:F1"/>
    <mergeCell ref="A2:F2"/>
    <mergeCell ref="A3:F3"/>
    <mergeCell ref="A11:F11"/>
    <mergeCell ref="A12:F12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3A457AFA687747B8D796B755578815" ma:contentTypeVersion="2" ma:contentTypeDescription="Crear nuevo documento." ma:contentTypeScope="" ma:versionID="7060b78f6ebb74058bcecc4162d2cf75">
  <xsd:schema xmlns:xsd="http://www.w3.org/2001/XMLSchema" xmlns:xs="http://www.w3.org/2001/XMLSchema" xmlns:p="http://schemas.microsoft.com/office/2006/metadata/properties" xmlns:ns2="ce24a3a9-0099-4827-b256-819969868103" targetNamespace="http://schemas.microsoft.com/office/2006/metadata/properties" ma:root="true" ma:fieldsID="44b7248dc1131a425dd955b803c1e5da" ns2:_="">
    <xsd:import namespace="ce24a3a9-0099-4827-b256-8199698681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4a3a9-0099-4827-b256-8199698681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EDA8A5-9BF6-4BFE-A25D-F25FB88D3CFA}"/>
</file>

<file path=customXml/itemProps2.xml><?xml version="1.0" encoding="utf-8"?>
<ds:datastoreItem xmlns:ds="http://schemas.openxmlformats.org/officeDocument/2006/customXml" ds:itemID="{1785FFBF-0D1D-40A7-89C3-930523B15F76}"/>
</file>

<file path=customXml/itemProps3.xml><?xml version="1.0" encoding="utf-8"?>
<ds:datastoreItem xmlns:ds="http://schemas.openxmlformats.org/officeDocument/2006/customXml" ds:itemID="{0622F03B-38E6-4911-8015-D9398C835E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CALL.14 CAR. 7 Y 8- CON PAVIMEN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Rocio Suarez</dc:creator>
  <cp:lastModifiedBy>Edna Rocio Suarez</cp:lastModifiedBy>
  <dcterms:created xsi:type="dcterms:W3CDTF">2019-05-03T12:55:39Z</dcterms:created>
  <dcterms:modified xsi:type="dcterms:W3CDTF">2019-05-03T12:57:29Z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0x0101005D3A457AFA687747B8D796B755578815</vt:lpwstr>
  </property>
</Properties>
</file>