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MP-MAN-OPMA-01\EMPOCALDAS\EMP-MAN-OPMA-01 - Documentos\CARMENZA OPERACION Y MANTENIMIENTO 2019\CREDITO DE $10.000 MILLONES  2019\"/>
    </mc:Choice>
  </mc:AlternateContent>
  <bookViews>
    <workbookView xWindow="0" yWindow="0" windowWidth="28770" windowHeight="11520"/>
  </bookViews>
  <sheets>
    <sheet name="GRUPOV FIL NEIRA RCIO SUPIA RDA" sheetId="50" r:id="rId1"/>
  </sheets>
  <externalReferences>
    <externalReference r:id="rId2"/>
  </externalReferences>
  <definedNames>
    <definedName name="_xlnm.Print_Area" localSheetId="0">'GRUPOV FIL NEIRA RCIO SUPIA RDA'!$A$1:$F$550</definedName>
  </definedNames>
  <calcPr calcId="162913"/>
</workbook>
</file>

<file path=xl/calcChain.xml><?xml version="1.0" encoding="utf-8"?>
<calcChain xmlns="http://schemas.openxmlformats.org/spreadsheetml/2006/main">
  <c r="F498" i="50" l="1"/>
  <c r="F550" i="50"/>
  <c r="F495" i="50"/>
  <c r="F488" i="50" l="1"/>
  <c r="F487" i="50"/>
  <c r="F486" i="50"/>
  <c r="F485" i="50"/>
  <c r="F484" i="50"/>
  <c r="F483" i="50"/>
  <c r="F482" i="50"/>
  <c r="F481" i="50"/>
  <c r="F480" i="50"/>
  <c r="F479" i="50"/>
  <c r="F478" i="50"/>
  <c r="F477" i="50"/>
  <c r="F476" i="50"/>
  <c r="F475" i="50"/>
  <c r="F474" i="50"/>
  <c r="F473" i="50"/>
  <c r="F472" i="50"/>
  <c r="F471" i="50"/>
  <c r="F470" i="50"/>
  <c r="F468" i="50"/>
  <c r="F467" i="50"/>
  <c r="F466" i="50"/>
  <c r="F465" i="50"/>
  <c r="A461" i="50" l="1"/>
  <c r="F49" i="50" l="1"/>
  <c r="F48" i="50"/>
  <c r="F46" i="50"/>
  <c r="F44" i="50"/>
  <c r="F42" i="50"/>
  <c r="F50" i="50" s="1"/>
  <c r="F53" i="50" s="1"/>
  <c r="F54" i="50" s="1"/>
  <c r="F40" i="50"/>
  <c r="F39" i="50"/>
  <c r="F37" i="50"/>
  <c r="F51" i="50" l="1"/>
  <c r="F52" i="50"/>
  <c r="F55" i="50" s="1"/>
  <c r="F58" i="50" s="1"/>
  <c r="E367" i="50" l="1"/>
  <c r="F489" i="50" l="1"/>
  <c r="A465" i="50"/>
  <c r="A466" i="50" s="1"/>
  <c r="A467" i="50" s="1"/>
  <c r="A468" i="50" s="1"/>
  <c r="A469" i="50" s="1"/>
  <c r="A470" i="50" s="1"/>
  <c r="A471" i="50" s="1"/>
  <c r="A472" i="50" s="1"/>
  <c r="A473" i="50" s="1"/>
  <c r="A474" i="50" s="1"/>
  <c r="A475" i="50" s="1"/>
  <c r="A476" i="50" s="1"/>
  <c r="A477" i="50" s="1"/>
  <c r="A478" i="50" s="1"/>
  <c r="A479" i="50" s="1"/>
  <c r="A480" i="50" s="1"/>
  <c r="A481" i="50" s="1"/>
  <c r="A482" i="50" s="1"/>
  <c r="A483" i="50" s="1"/>
  <c r="A484" i="50" s="1"/>
  <c r="A485" i="50" s="1"/>
  <c r="A486" i="50" s="1"/>
  <c r="A487" i="50" s="1"/>
  <c r="A488" i="50" s="1"/>
  <c r="A414" i="50" l="1"/>
  <c r="A415" i="50" s="1"/>
  <c r="A416" i="50" s="1"/>
  <c r="A417" i="50" s="1"/>
  <c r="A418" i="50" s="1"/>
  <c r="A419" i="50" s="1"/>
  <c r="A420" i="50" s="1"/>
  <c r="A421" i="50" s="1"/>
  <c r="A422" i="50" s="1"/>
  <c r="A423" i="50" s="1"/>
  <c r="A424" i="50" s="1"/>
  <c r="A425" i="50" s="1"/>
  <c r="A426" i="50" s="1"/>
  <c r="A427" i="50" s="1"/>
  <c r="A428" i="50" s="1"/>
  <c r="A429" i="50" s="1"/>
  <c r="A430" i="50" s="1"/>
  <c r="A431" i="50" s="1"/>
  <c r="A432" i="50" s="1"/>
  <c r="A433" i="50" s="1"/>
  <c r="A434" i="50" s="1"/>
  <c r="A435" i="50" s="1"/>
  <c r="A436" i="50" s="1"/>
  <c r="A437" i="50" s="1"/>
  <c r="A438" i="50" s="1"/>
  <c r="A439" i="50" s="1"/>
  <c r="A440" i="50" s="1"/>
  <c r="A441" i="50" s="1"/>
  <c r="A442" i="50" s="1"/>
  <c r="A443" i="50" s="1"/>
  <c r="A444" i="50" s="1"/>
  <c r="A445" i="50" s="1"/>
  <c r="A446" i="50" s="1"/>
  <c r="A447" i="50" s="1"/>
  <c r="A448" i="50" s="1"/>
  <c r="A449" i="50" s="1"/>
  <c r="A450" i="50" s="1"/>
  <c r="A451" i="50" s="1"/>
  <c r="A452" i="50" s="1"/>
  <c r="A364" i="50"/>
  <c r="A365" i="50" s="1"/>
  <c r="A366" i="50" s="1"/>
  <c r="A367" i="50" s="1"/>
  <c r="A368" i="50" s="1"/>
  <c r="A369" i="50" s="1"/>
  <c r="A370" i="50" s="1"/>
  <c r="A371" i="50" s="1"/>
  <c r="A372" i="50" s="1"/>
  <c r="A373" i="50" s="1"/>
  <c r="A374" i="50" s="1"/>
  <c r="A375" i="50" s="1"/>
  <c r="A376" i="50" s="1"/>
  <c r="A377" i="50" s="1"/>
  <c r="A378" i="50" s="1"/>
  <c r="A379" i="50" s="1"/>
  <c r="A380" i="50" s="1"/>
  <c r="A381" i="50" s="1"/>
  <c r="A382" i="50" s="1"/>
  <c r="A383" i="50" s="1"/>
  <c r="A384" i="50" s="1"/>
  <c r="A385" i="50" s="1"/>
  <c r="A386" i="50" s="1"/>
  <c r="A387" i="50" s="1"/>
  <c r="A388" i="50" s="1"/>
  <c r="A389" i="50" s="1"/>
  <c r="A390" i="50" s="1"/>
  <c r="A391" i="50" s="1"/>
  <c r="A392" i="50" s="1"/>
  <c r="A393" i="50" s="1"/>
  <c r="A394" i="50" s="1"/>
  <c r="A395" i="50" s="1"/>
  <c r="A396" i="50" s="1"/>
  <c r="A397" i="50" s="1"/>
  <c r="A398" i="50" s="1"/>
  <c r="A399" i="50" s="1"/>
  <c r="A400" i="50" s="1"/>
  <c r="A401" i="50" s="1"/>
  <c r="A402" i="50" s="1"/>
  <c r="A309" i="50" l="1"/>
  <c r="A310" i="50" s="1"/>
  <c r="A311" i="50" s="1"/>
  <c r="A312" i="50" s="1"/>
  <c r="A313" i="50" s="1"/>
  <c r="A314" i="50" s="1"/>
  <c r="A315" i="50" s="1"/>
  <c r="A316" i="50" s="1"/>
  <c r="A317" i="50" s="1"/>
  <c r="A318" i="50" s="1"/>
  <c r="A319" i="50" s="1"/>
  <c r="A320" i="50" s="1"/>
  <c r="A321" i="50" s="1"/>
  <c r="A322" i="50" s="1"/>
  <c r="A323" i="50" s="1"/>
  <c r="A324" i="50" s="1"/>
  <c r="A325" i="50" s="1"/>
  <c r="A326" i="50" s="1"/>
  <c r="A327" i="50" s="1"/>
  <c r="A328" i="50" s="1"/>
  <c r="A329" i="50" s="1"/>
  <c r="A330" i="50" s="1"/>
  <c r="A331" i="50" s="1"/>
  <c r="A332" i="50" s="1"/>
  <c r="A333" i="50" s="1"/>
  <c r="A334" i="50" s="1"/>
  <c r="A335" i="50" s="1"/>
  <c r="A336" i="50" s="1"/>
  <c r="A337" i="50" s="1"/>
  <c r="A338" i="50" s="1"/>
  <c r="A339" i="50" s="1"/>
  <c r="A340" i="50" s="1"/>
  <c r="A341" i="50" s="1"/>
  <c r="A342" i="50" s="1"/>
  <c r="A343" i="50" s="1"/>
  <c r="A344" i="50" s="1"/>
  <c r="A277" i="50"/>
  <c r="A278" i="50" s="1"/>
  <c r="A279" i="50" s="1"/>
  <c r="A280" i="50" s="1"/>
  <c r="A281" i="50" s="1"/>
  <c r="A282" i="50" s="1"/>
  <c r="A283" i="50" s="1"/>
  <c r="A284" i="50" s="1"/>
  <c r="A285" i="50" s="1"/>
  <c r="A286" i="50" s="1"/>
  <c r="A287" i="50" s="1"/>
  <c r="A288" i="50" s="1"/>
  <c r="A289" i="50" s="1"/>
  <c r="A290" i="50" s="1"/>
  <c r="A291" i="50" s="1"/>
  <c r="A230" i="50"/>
  <c r="A231" i="50" s="1"/>
  <c r="A232" i="50" s="1"/>
  <c r="A233" i="50" s="1"/>
  <c r="A234" i="50" s="1"/>
  <c r="A235" i="50" s="1"/>
  <c r="A236" i="50" s="1"/>
  <c r="A237" i="50" s="1"/>
  <c r="A238" i="50" s="1"/>
  <c r="A239" i="50" s="1"/>
  <c r="A240" i="50" s="1"/>
  <c r="A241" i="50" s="1"/>
  <c r="A242" i="50" s="1"/>
  <c r="A182" i="50"/>
  <c r="A183" i="50" s="1"/>
  <c r="A184" i="50" s="1"/>
  <c r="A185" i="50" s="1"/>
  <c r="A186" i="50" s="1"/>
  <c r="A187" i="50" s="1"/>
  <c r="A188" i="50" s="1"/>
  <c r="A189" i="50" s="1"/>
  <c r="A190" i="50" s="1"/>
  <c r="A191" i="50" s="1"/>
  <c r="A192" i="50" s="1"/>
  <c r="A193" i="50" s="1"/>
  <c r="A194" i="50" s="1"/>
  <c r="A195" i="50" s="1"/>
  <c r="A196" i="50" s="1"/>
  <c r="A197" i="50" s="1"/>
  <c r="A198" i="50" s="1"/>
  <c r="A199" i="50" s="1"/>
  <c r="A200" i="50" s="1"/>
  <c r="A201" i="50" s="1"/>
  <c r="A202" i="50" s="1"/>
  <c r="A203" i="50" s="1"/>
  <c r="A204" i="50" s="1"/>
  <c r="A141" i="50"/>
  <c r="A142" i="50" s="1"/>
  <c r="A143" i="50" s="1"/>
  <c r="A144" i="50" s="1"/>
  <c r="A145" i="50" s="1"/>
  <c r="A146" i="50" s="1"/>
  <c r="A147" i="50" s="1"/>
  <c r="A148" i="50" s="1"/>
  <c r="A149" i="50" s="1"/>
  <c r="A150" i="50" s="1"/>
  <c r="A151" i="50" s="1"/>
  <c r="A152" i="50" s="1"/>
  <c r="A153" i="50" s="1"/>
  <c r="A154" i="50" s="1"/>
  <c r="A155" i="50" s="1"/>
  <c r="A156" i="50" s="1"/>
  <c r="A157" i="50" s="1"/>
  <c r="A158" i="50" s="1"/>
  <c r="A159" i="50" s="1"/>
  <c r="A160" i="50" s="1"/>
  <c r="A161" i="50" s="1"/>
  <c r="A162" i="50" s="1"/>
  <c r="A163" i="50" s="1"/>
  <c r="A164" i="50" s="1"/>
  <c r="A165" i="50" s="1"/>
  <c r="A166" i="50" s="1"/>
  <c r="A167" i="50" s="1"/>
  <c r="A168" i="50" s="1"/>
  <c r="A169" i="50" s="1"/>
  <c r="A170" i="50" s="1"/>
  <c r="A106" i="50"/>
  <c r="A107" i="50" s="1"/>
  <c r="A65" i="50"/>
  <c r="A66" i="50" s="1"/>
  <c r="A67" i="50" s="1"/>
  <c r="A68" i="50" s="1"/>
  <c r="A69" i="50" s="1"/>
  <c r="A70" i="50" s="1"/>
  <c r="A71" i="50" s="1"/>
  <c r="A72" i="50" s="1"/>
  <c r="A73" i="50" s="1"/>
  <c r="A74" i="50" s="1"/>
  <c r="A75" i="50" s="1"/>
  <c r="A76" i="50" s="1"/>
  <c r="A77" i="50" s="1"/>
  <c r="A78" i="50" s="1"/>
  <c r="A79" i="50" s="1"/>
  <c r="A80" i="50" s="1"/>
  <c r="A81" i="50" s="1"/>
  <c r="A82" i="50" s="1"/>
  <c r="A83" i="50" s="1"/>
  <c r="A84" i="50" s="1"/>
  <c r="A85" i="50" s="1"/>
  <c r="A86" i="50" s="1"/>
  <c r="A87" i="50" s="1"/>
  <c r="A88" i="50" s="1"/>
  <c r="A89" i="50" s="1"/>
  <c r="A90" i="50" s="1"/>
  <c r="A91" i="50" s="1"/>
  <c r="A92" i="50" s="1"/>
  <c r="A93" i="50" s="1"/>
  <c r="A94" i="50" s="1"/>
  <c r="A11" i="50"/>
  <c r="E344" i="50"/>
  <c r="F344" i="50" s="1"/>
  <c r="F291" i="50"/>
  <c r="E290" i="50"/>
  <c r="F290" i="50" s="1"/>
  <c r="A243" i="50" l="1"/>
  <c r="A244" i="50" s="1"/>
  <c r="A245" i="50" s="1"/>
  <c r="A246" i="50" s="1"/>
  <c r="A247" i="50" s="1"/>
  <c r="A248" i="50" s="1"/>
  <c r="A249" i="50" s="1"/>
  <c r="A250" i="50" s="1"/>
  <c r="A251" i="50" s="1"/>
  <c r="A252" i="50" s="1"/>
  <c r="A253" i="50" s="1"/>
  <c r="A254" i="50" s="1"/>
  <c r="A255" i="50" s="1"/>
  <c r="A256" i="50" s="1"/>
  <c r="A257" i="50" s="1"/>
  <c r="A258" i="50" s="1"/>
  <c r="A259" i="50" s="1"/>
  <c r="A260" i="50" s="1"/>
  <c r="A261" i="50" s="1"/>
  <c r="A262" i="50" s="1"/>
  <c r="A263" i="50" s="1"/>
  <c r="A264" i="50" s="1"/>
  <c r="A265" i="50" s="1"/>
  <c r="A205" i="50"/>
  <c r="A206" i="50" s="1"/>
  <c r="A207" i="50" s="1"/>
  <c r="A208" i="50" s="1"/>
  <c r="A209" i="50" s="1"/>
  <c r="A210" i="50" s="1"/>
  <c r="A211" i="50" s="1"/>
  <c r="A108" i="50"/>
  <c r="A109" i="50" s="1"/>
  <c r="A110" i="50" s="1"/>
  <c r="A111" i="50" s="1"/>
  <c r="A112" i="50" s="1"/>
  <c r="A113" i="50" s="1"/>
  <c r="A114" i="50" s="1"/>
  <c r="A115" i="50" s="1"/>
  <c r="A116" i="50" s="1"/>
  <c r="A117" i="50" s="1"/>
  <c r="A118" i="50" s="1"/>
  <c r="A119" i="50" s="1"/>
  <c r="A120" i="50" s="1"/>
  <c r="A121" i="50" s="1"/>
  <c r="A122" i="50" s="1"/>
  <c r="A123" i="50" s="1"/>
  <c r="A124" i="50" s="1"/>
  <c r="A125" i="50" s="1"/>
  <c r="A126" i="50" s="1"/>
  <c r="A127" i="50" s="1"/>
  <c r="A128" i="50" s="1"/>
  <c r="A129" i="50" s="1"/>
  <c r="F490" i="50"/>
  <c r="A12" i="50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F289" i="50"/>
  <c r="F288" i="50"/>
  <c r="F287" i="50"/>
  <c r="F286" i="50"/>
  <c r="F285" i="50"/>
  <c r="F284" i="50"/>
  <c r="F282" i="50"/>
  <c r="F281" i="50"/>
  <c r="F280" i="50"/>
  <c r="F278" i="50"/>
  <c r="A212" i="50" l="1"/>
  <c r="A213" i="50" s="1"/>
  <c r="A214" i="50" s="1"/>
  <c r="A215" i="50" s="1"/>
  <c r="F493" i="50"/>
  <c r="F494" i="50" s="1"/>
  <c r="F492" i="50"/>
  <c r="F491" i="50"/>
  <c r="F292" i="50"/>
  <c r="A216" i="50" l="1"/>
  <c r="A217" i="50" s="1"/>
  <c r="F537" i="50" l="1"/>
  <c r="F536" i="50"/>
  <c r="F535" i="50"/>
  <c r="F534" i="50"/>
  <c r="F533" i="50"/>
  <c r="F532" i="50"/>
  <c r="F531" i="50"/>
  <c r="F530" i="50"/>
  <c r="F529" i="50"/>
  <c r="F528" i="50"/>
  <c r="F527" i="50"/>
  <c r="F526" i="50"/>
  <c r="F525" i="50"/>
  <c r="F524" i="50"/>
  <c r="F523" i="50"/>
  <c r="F522" i="50"/>
  <c r="F521" i="50"/>
  <c r="F520" i="50"/>
  <c r="F519" i="50"/>
  <c r="F518" i="50"/>
  <c r="F517" i="50"/>
  <c r="F516" i="50"/>
  <c r="F515" i="50"/>
  <c r="F514" i="50"/>
  <c r="F513" i="50"/>
  <c r="F512" i="50"/>
  <c r="F511" i="50"/>
  <c r="F510" i="50"/>
  <c r="F509" i="50"/>
  <c r="F508" i="50"/>
  <c r="F507" i="50"/>
  <c r="E452" i="50"/>
  <c r="F452" i="50" s="1"/>
  <c r="E450" i="50"/>
  <c r="F450" i="50" s="1"/>
  <c r="E449" i="50"/>
  <c r="F449" i="50" s="1"/>
  <c r="E447" i="50"/>
  <c r="F447" i="50" s="1"/>
  <c r="E445" i="50"/>
  <c r="F445" i="50" s="1"/>
  <c r="E444" i="50"/>
  <c r="F444" i="50" s="1"/>
  <c r="E443" i="50"/>
  <c r="F443" i="50" s="1"/>
  <c r="E441" i="50"/>
  <c r="F441" i="50" s="1"/>
  <c r="E439" i="50"/>
  <c r="F439" i="50" s="1"/>
  <c r="E438" i="50"/>
  <c r="F438" i="50" s="1"/>
  <c r="E437" i="50"/>
  <c r="F437" i="50" s="1"/>
  <c r="E435" i="50"/>
  <c r="F435" i="50" s="1"/>
  <c r="F434" i="50"/>
  <c r="E433" i="50"/>
  <c r="F433" i="50" s="1"/>
  <c r="E431" i="50"/>
  <c r="F431" i="50" s="1"/>
  <c r="F430" i="50"/>
  <c r="E429" i="50"/>
  <c r="F429" i="50" s="1"/>
  <c r="E427" i="50"/>
  <c r="F427" i="50" s="1"/>
  <c r="E426" i="50"/>
  <c r="F426" i="50" s="1"/>
  <c r="E424" i="50"/>
  <c r="F424" i="50" s="1"/>
  <c r="E423" i="50"/>
  <c r="F423" i="50" s="1"/>
  <c r="E422" i="50"/>
  <c r="F422" i="50" s="1"/>
  <c r="E420" i="50"/>
  <c r="F420" i="50" s="1"/>
  <c r="E419" i="50"/>
  <c r="F419" i="50" s="1"/>
  <c r="E417" i="50"/>
  <c r="F417" i="50" s="1"/>
  <c r="E416" i="50"/>
  <c r="F416" i="50" s="1"/>
  <c r="E415" i="50"/>
  <c r="F415" i="50" s="1"/>
  <c r="E402" i="50"/>
  <c r="F402" i="50" s="1"/>
  <c r="E400" i="50"/>
  <c r="F400" i="50" s="1"/>
  <c r="E399" i="50"/>
  <c r="F399" i="50" s="1"/>
  <c r="E397" i="50"/>
  <c r="F397" i="50" s="1"/>
  <c r="E395" i="50"/>
  <c r="F395" i="50" s="1"/>
  <c r="E394" i="50"/>
  <c r="F394" i="50" s="1"/>
  <c r="E393" i="50"/>
  <c r="F393" i="50" s="1"/>
  <c r="E391" i="50"/>
  <c r="F391" i="50" s="1"/>
  <c r="E389" i="50"/>
  <c r="F389" i="50" s="1"/>
  <c r="E388" i="50"/>
  <c r="F388" i="50" s="1"/>
  <c r="E387" i="50"/>
  <c r="F387" i="50" s="1"/>
  <c r="E385" i="50"/>
  <c r="F385" i="50" s="1"/>
  <c r="F384" i="50"/>
  <c r="E383" i="50"/>
  <c r="F383" i="50" s="1"/>
  <c r="E381" i="50"/>
  <c r="F381" i="50" s="1"/>
  <c r="E380" i="50"/>
  <c r="F380" i="50" s="1"/>
  <c r="E379" i="50"/>
  <c r="F379" i="50" s="1"/>
  <c r="E377" i="50"/>
  <c r="F377" i="50" s="1"/>
  <c r="E376" i="50"/>
  <c r="F376" i="50" s="1"/>
  <c r="E374" i="50"/>
  <c r="F374" i="50" s="1"/>
  <c r="E373" i="50"/>
  <c r="F373" i="50" s="1"/>
  <c r="E372" i="50"/>
  <c r="F372" i="50" s="1"/>
  <c r="E370" i="50"/>
  <c r="F370" i="50" s="1"/>
  <c r="E369" i="50"/>
  <c r="F369" i="50" s="1"/>
  <c r="F367" i="50"/>
  <c r="E366" i="50"/>
  <c r="F366" i="50" s="1"/>
  <c r="E365" i="50"/>
  <c r="F365" i="50" s="1"/>
  <c r="F343" i="50"/>
  <c r="F342" i="50"/>
  <c r="F341" i="50"/>
  <c r="F340" i="50"/>
  <c r="F339" i="50"/>
  <c r="F338" i="50"/>
  <c r="F337" i="50"/>
  <c r="D336" i="50"/>
  <c r="F336" i="50" s="1"/>
  <c r="D334" i="50"/>
  <c r="F334" i="50" s="1"/>
  <c r="F333" i="50"/>
  <c r="F332" i="50"/>
  <c r="F331" i="50"/>
  <c r="F329" i="50"/>
  <c r="F328" i="50"/>
  <c r="F327" i="50"/>
  <c r="F326" i="50"/>
  <c r="F325" i="50"/>
  <c r="F324" i="50"/>
  <c r="D323" i="50"/>
  <c r="F323" i="50" s="1"/>
  <c r="F322" i="50"/>
  <c r="E320" i="50"/>
  <c r="D319" i="50"/>
  <c r="F319" i="50" s="1"/>
  <c r="D318" i="50"/>
  <c r="F318" i="50" s="1"/>
  <c r="F316" i="50"/>
  <c r="F315" i="50"/>
  <c r="F314" i="50"/>
  <c r="F313" i="50"/>
  <c r="F312" i="50"/>
  <c r="F311" i="50"/>
  <c r="F310" i="50"/>
  <c r="F453" i="50" l="1"/>
  <c r="F538" i="50"/>
  <c r="F403" i="50"/>
  <c r="D320" i="50"/>
  <c r="F320" i="50" s="1"/>
  <c r="F547" i="50" l="1"/>
  <c r="F345" i="50"/>
  <c r="F404" i="50"/>
  <c r="F406" i="50" s="1"/>
  <c r="F539" i="50"/>
  <c r="F541" i="50" s="1"/>
  <c r="F346" i="50" l="1"/>
  <c r="F349" i="50" s="1"/>
  <c r="F350" i="50" s="1"/>
  <c r="F542" i="50"/>
  <c r="F543" i="50" s="1"/>
  <c r="F405" i="50"/>
  <c r="F407" i="50"/>
  <c r="F408" i="50" s="1"/>
  <c r="F540" i="50"/>
  <c r="F348" i="50" l="1"/>
  <c r="F347" i="50"/>
  <c r="F544" i="50"/>
  <c r="F409" i="50"/>
  <c r="F351" i="50" l="1"/>
  <c r="F353" i="50" s="1"/>
  <c r="F293" i="50" l="1"/>
  <c r="F231" i="50"/>
  <c r="F265" i="50"/>
  <c r="F264" i="50"/>
  <c r="F263" i="50"/>
  <c r="F262" i="50"/>
  <c r="F261" i="50"/>
  <c r="F260" i="50"/>
  <c r="F259" i="50"/>
  <c r="F258" i="50"/>
  <c r="F257" i="50"/>
  <c r="F256" i="50"/>
  <c r="F255" i="50"/>
  <c r="F253" i="50"/>
  <c r="F252" i="50"/>
  <c r="F251" i="50"/>
  <c r="F249" i="50"/>
  <c r="F248" i="50"/>
  <c r="F246" i="50"/>
  <c r="F245" i="50"/>
  <c r="F243" i="50"/>
  <c r="F242" i="50"/>
  <c r="F240" i="50"/>
  <c r="F238" i="50"/>
  <c r="F237" i="50"/>
  <c r="F236" i="50"/>
  <c r="F234" i="50"/>
  <c r="F233" i="50"/>
  <c r="F232" i="50"/>
  <c r="F266" i="50" l="1"/>
  <c r="F296" i="50"/>
  <c r="F297" i="50" s="1"/>
  <c r="F295" i="50"/>
  <c r="F294" i="50"/>
  <c r="F298" i="50" l="1"/>
  <c r="F267" i="50"/>
  <c r="F268" i="50" s="1"/>
  <c r="F269" i="50" l="1"/>
  <c r="F270" i="50"/>
  <c r="F271" i="50" s="1"/>
  <c r="F272" i="50" l="1"/>
  <c r="F217" i="50"/>
  <c r="F216" i="50"/>
  <c r="F215" i="50"/>
  <c r="F213" i="50"/>
  <c r="F212" i="50"/>
  <c r="F211" i="50"/>
  <c r="F210" i="50"/>
  <c r="F209" i="50"/>
  <c r="F208" i="50"/>
  <c r="F207" i="50"/>
  <c r="F206" i="50"/>
  <c r="F205" i="50"/>
  <c r="D204" i="50"/>
  <c r="F204" i="50" s="1"/>
  <c r="F202" i="50"/>
  <c r="F201" i="50"/>
  <c r="F200" i="50"/>
  <c r="F198" i="50"/>
  <c r="F197" i="50"/>
  <c r="F195" i="50"/>
  <c r="F194" i="50"/>
  <c r="F193" i="50"/>
  <c r="F191" i="50"/>
  <c r="F189" i="50"/>
  <c r="F188" i="50"/>
  <c r="F187" i="50"/>
  <c r="F185" i="50"/>
  <c r="F184" i="50"/>
  <c r="F183" i="50"/>
  <c r="F219" i="50" l="1"/>
  <c r="F170" i="50"/>
  <c r="F169" i="50"/>
  <c r="F168" i="50"/>
  <c r="F167" i="50"/>
  <c r="F166" i="50"/>
  <c r="F165" i="50"/>
  <c r="F164" i="50"/>
  <c r="F163" i="50"/>
  <c r="F162" i="50"/>
  <c r="F161" i="50"/>
  <c r="F160" i="50"/>
  <c r="F159" i="50"/>
  <c r="F157" i="50"/>
  <c r="F156" i="50"/>
  <c r="F155" i="50"/>
  <c r="F154" i="50"/>
  <c r="F153" i="50"/>
  <c r="F152" i="50"/>
  <c r="F151" i="50"/>
  <c r="F150" i="50"/>
  <c r="F149" i="50"/>
  <c r="F148" i="50"/>
  <c r="F147" i="50"/>
  <c r="F146" i="50"/>
  <c r="F145" i="50"/>
  <c r="F144" i="50"/>
  <c r="F143" i="50"/>
  <c r="F142" i="50"/>
  <c r="D158" i="50"/>
  <c r="F158" i="50" s="1"/>
  <c r="F129" i="50"/>
  <c r="F128" i="50"/>
  <c r="F127" i="50"/>
  <c r="F126" i="50"/>
  <c r="F125" i="50"/>
  <c r="F124" i="50"/>
  <c r="F123" i="50"/>
  <c r="F122" i="50"/>
  <c r="F121" i="50"/>
  <c r="F120" i="50"/>
  <c r="F119" i="50"/>
  <c r="F118" i="50"/>
  <c r="F117" i="50"/>
  <c r="F116" i="50"/>
  <c r="F115" i="50"/>
  <c r="F114" i="50"/>
  <c r="F113" i="50"/>
  <c r="F112" i="50"/>
  <c r="F111" i="50"/>
  <c r="F110" i="50"/>
  <c r="F109" i="50"/>
  <c r="F108" i="50"/>
  <c r="F107" i="50"/>
  <c r="F94" i="50"/>
  <c r="F93" i="50"/>
  <c r="F92" i="50"/>
  <c r="F91" i="50"/>
  <c r="F90" i="50"/>
  <c r="F89" i="50"/>
  <c r="F88" i="50"/>
  <c r="F87" i="50"/>
  <c r="F86" i="50"/>
  <c r="F85" i="50"/>
  <c r="F84" i="50"/>
  <c r="F83" i="50"/>
  <c r="F82" i="50"/>
  <c r="F81" i="50"/>
  <c r="F80" i="50"/>
  <c r="F79" i="50"/>
  <c r="F78" i="50"/>
  <c r="F77" i="50"/>
  <c r="F76" i="50"/>
  <c r="F75" i="50"/>
  <c r="F74" i="50"/>
  <c r="F73" i="50"/>
  <c r="F72" i="50"/>
  <c r="F71" i="50"/>
  <c r="F70" i="50"/>
  <c r="F69" i="50"/>
  <c r="F68" i="50"/>
  <c r="F67" i="50"/>
  <c r="F66" i="50"/>
  <c r="F220" i="50" l="1"/>
  <c r="F222" i="50" s="1"/>
  <c r="F130" i="50"/>
  <c r="F171" i="50"/>
  <c r="F95" i="50"/>
  <c r="F223" i="50"/>
  <c r="F224" i="50" s="1"/>
  <c r="F221" i="50"/>
  <c r="F96" i="50" l="1"/>
  <c r="F99" i="50" s="1"/>
  <c r="F100" i="50" s="1"/>
  <c r="F131" i="50"/>
  <c r="F134" i="50" s="1"/>
  <c r="F135" i="50" s="1"/>
  <c r="F225" i="50"/>
  <c r="F172" i="50"/>
  <c r="F175" i="50" s="1"/>
  <c r="F176" i="50" s="1"/>
  <c r="F98" i="50" l="1"/>
  <c r="F97" i="50"/>
  <c r="F133" i="50"/>
  <c r="F132" i="50"/>
  <c r="F173" i="50"/>
  <c r="F174" i="50"/>
  <c r="F101" i="50" l="1"/>
  <c r="F136" i="50"/>
  <c r="F177" i="50"/>
  <c r="F22" i="50"/>
  <c r="F21" i="50"/>
  <c r="F20" i="50"/>
  <c r="F19" i="50"/>
  <c r="F18" i="50"/>
  <c r="F17" i="50"/>
  <c r="F16" i="50"/>
  <c r="F15" i="50"/>
  <c r="F14" i="50"/>
  <c r="F13" i="50"/>
  <c r="F12" i="50"/>
  <c r="F11" i="50"/>
  <c r="F301" i="50" l="1"/>
  <c r="F23" i="50"/>
  <c r="F24" i="50" s="1"/>
  <c r="F27" i="50" s="1"/>
  <c r="F28" i="50" s="1"/>
  <c r="F26" i="50" l="1"/>
  <c r="F25" i="50"/>
  <c r="F29" i="50" l="1"/>
  <c r="F454" i="50" l="1"/>
  <c r="F456" i="50" s="1"/>
  <c r="F455" i="50" l="1"/>
  <c r="F457" i="50"/>
  <c r="F458" i="50" s="1"/>
  <c r="F459" i="50" l="1"/>
</calcChain>
</file>

<file path=xl/sharedStrings.xml><?xml version="1.0" encoding="utf-8"?>
<sst xmlns="http://schemas.openxmlformats.org/spreadsheetml/2006/main" count="876" uniqueCount="272">
  <si>
    <t>DESCRIPCION</t>
  </si>
  <si>
    <t xml:space="preserve"> </t>
  </si>
  <si>
    <t xml:space="preserve">NEIRA </t>
  </si>
  <si>
    <t>Cambio red conducción de acueducto chambery sector la Floresta finca La Gloria   en el municipio de FiladelfiaCaldas</t>
  </si>
  <si>
    <t>ITEM</t>
  </si>
  <si>
    <t>UND</t>
  </si>
  <si>
    <t>CONTRACTUAL</t>
  </si>
  <si>
    <t>CANTIDAD</t>
  </si>
  <si>
    <t>VR.UNITARIO</t>
  </si>
  <si>
    <t>VR. TOTAL</t>
  </si>
  <si>
    <t>PRELIMINARES</t>
  </si>
  <si>
    <t>Localización y replanteo (Incluye  plano record)</t>
  </si>
  <si>
    <t>ml</t>
  </si>
  <si>
    <t>Techado provisional en plástico y guadua</t>
  </si>
  <si>
    <t>m2</t>
  </si>
  <si>
    <t>Cerramiento con tela verde y soportes de guadua cada 2 metros</t>
  </si>
  <si>
    <t>Señal preventiva y reglamentaria</t>
  </si>
  <si>
    <t>und</t>
  </si>
  <si>
    <t>Instalación de valla institucional 2x4</t>
  </si>
  <si>
    <t>DEMOLICIONES</t>
  </si>
  <si>
    <t>Corte con disco abrasivo</t>
  </si>
  <si>
    <t>Demolición de estructuras en concreto hidráulico Incluye andenes, gradería y cañuelas</t>
  </si>
  <si>
    <t>EXCAVACION</t>
  </si>
  <si>
    <t>En material común de 0 a 2m</t>
  </si>
  <si>
    <t>Entibado horizontal Tipo I</t>
  </si>
  <si>
    <t>Retiro de material sobrante en vehiculo automotor</t>
  </si>
  <si>
    <t>ESTRUCTURAS ALCANTARILLADO</t>
  </si>
  <si>
    <t>Cámara de caída D=1,2, H≤3,04, espesor de pared e=0,20 con colchón de piedra pegada e=40cm y boquilla</t>
  </si>
  <si>
    <t>Un</t>
  </si>
  <si>
    <t>Bases y Cañuelas</t>
  </si>
  <si>
    <t>Instalación de tubería PVC corrugada de 6" para domiciliarias</t>
  </si>
  <si>
    <t>Cajas de inspección 0,50x0,50 para domiciliarias, Incluye tapa en concreto</t>
  </si>
  <si>
    <t>Empalme a cámara</t>
  </si>
  <si>
    <t>LLENOS</t>
  </si>
  <si>
    <t>Arena para base y atraque</t>
  </si>
  <si>
    <t>Lleno compactado con material de la obra</t>
  </si>
  <si>
    <t>Sub base para pavimento</t>
  </si>
  <si>
    <t>Afirmado</t>
  </si>
  <si>
    <t>CONCRETOS</t>
  </si>
  <si>
    <t>Concreto de 21Mpa para graderías y andenes</t>
  </si>
  <si>
    <t>Concreto para pavimento 42MR hecho en obra</t>
  </si>
  <si>
    <t xml:space="preserve">ACERO </t>
  </si>
  <si>
    <t xml:space="preserve">Acero de refuerzo para graderías </t>
  </si>
  <si>
    <t>Kilo</t>
  </si>
  <si>
    <t>Acompañamiento social durante toda la obra</t>
  </si>
  <si>
    <t>mes</t>
  </si>
  <si>
    <t>COSTO TOTAL</t>
  </si>
  <si>
    <t xml:space="preserve">IMPREVISTOS </t>
  </si>
  <si>
    <t xml:space="preserve">RIOSUCIO </t>
  </si>
  <si>
    <t xml:space="preserve">COSTO DIRECTO </t>
  </si>
  <si>
    <t xml:space="preserve">ADMINISTRACION </t>
  </si>
  <si>
    <t xml:space="preserve">UTILIDADES </t>
  </si>
  <si>
    <t xml:space="preserve">IVA SOBRE UTILIDADES </t>
  </si>
  <si>
    <r>
      <t>m</t>
    </r>
    <r>
      <rPr>
        <sz val="11"/>
        <color indexed="8"/>
        <rFont val="Arial"/>
        <family val="2"/>
      </rPr>
      <t>³</t>
    </r>
  </si>
  <si>
    <t>Instalación e tubería PVC corrugada de 12"</t>
  </si>
  <si>
    <t>Instalación de silletas de 12"x6"</t>
  </si>
  <si>
    <t>Localización y replanteo</t>
  </si>
  <si>
    <t>m³</t>
  </si>
  <si>
    <t xml:space="preserve">Localización y replanteo </t>
  </si>
  <si>
    <t>Suministro e instalación de tapa con aro pozo de inspección en HD  D=0.60cm  trafico pesado</t>
  </si>
  <si>
    <t>Localizacion y replanteo (Incluye  plano record)</t>
  </si>
  <si>
    <t>Demolicion de estructuras en concreto hidraulico Incluye andenes, graderia y cañuelas</t>
  </si>
  <si>
    <t>En material comun de 0 a 2m</t>
  </si>
  <si>
    <t>ESTRUCTURAS ACUEDUCTO</t>
  </si>
  <si>
    <t>Instalacion de acometidas de 1/2" desde el tubo madre hasta el medidor</t>
  </si>
  <si>
    <t>Instalcion de Valvulas</t>
  </si>
  <si>
    <t>Empalme a tuberia existente</t>
  </si>
  <si>
    <t>Concreto de 21Mpa para graderias y andenes</t>
  </si>
  <si>
    <t xml:space="preserve">Acero de refuerzo para graderias </t>
  </si>
  <si>
    <t>Suministro, Transporte e Instalacion Señal preventiva y reglamentaria</t>
  </si>
  <si>
    <t>Demolicion Pavimentos y Andenes en Concreto Hidraulico</t>
  </si>
  <si>
    <t>Corte mecanizado de Pavimento de Concreto Hidraulico (0,07m)</t>
  </si>
  <si>
    <t>Excavacion en zanja - Material Comun - 0.0 a 2.0 Mts</t>
  </si>
  <si>
    <t>Excavacion en zanja - Material Conglomerado - 0.0 a 2.0 Mts</t>
  </si>
  <si>
    <t>m3</t>
  </si>
  <si>
    <t>REPOSICIÓN DE LA RED DE ALCANTARILLADO</t>
  </si>
  <si>
    <t>Instalacion Tuberia PVC Corrugada 160mm (6") para Alcantarillado</t>
  </si>
  <si>
    <t>Instalación empaleme pvc corrugado  de 315mm x 160 mm  (12"x6")</t>
  </si>
  <si>
    <t>un</t>
  </si>
  <si>
    <t xml:space="preserve">ENTIBADOS </t>
  </si>
  <si>
    <t>Entibado Horizontal/Vertical Tipo I</t>
  </si>
  <si>
    <t>CONSTRUCCION CAJAS DE INSPECCION DOMICILIARIA</t>
  </si>
  <si>
    <t>Suministro, Transporte e Instalacion Caja de Inspeccion Empalme domiciliario (0,50x0,50m) en Concreto 21Mpa</t>
  </si>
  <si>
    <t>Und</t>
  </si>
  <si>
    <t>RELLENOS</t>
  </si>
  <si>
    <t>Rellenos Compactados con Material de Obra</t>
  </si>
  <si>
    <t>Sustitucion en Arena limpia para Tuberias</t>
  </si>
  <si>
    <t>SUSTITUCION SUB-BASE Y BASES COMPACTADAS</t>
  </si>
  <si>
    <t>CONSTRUCCION  CAMARAS CIRCULARES DE INSPECCION Y EMPALMES</t>
  </si>
  <si>
    <t>Suministro, Transporte e Instalacion de Camara Circular de Inspeccion/Caida D=1,2m en Concreto 21Mpa</t>
  </si>
  <si>
    <t>EVACUACION DE ESCOMBROS</t>
  </si>
  <si>
    <t>Evacuacion de Escombros y Sobrantes en vehiculo automotor (Incluye permiso de utilizacion de escombrera)</t>
  </si>
  <si>
    <t>OBRAS EN CONCRETO HIDRAULICO</t>
  </si>
  <si>
    <t>Suministro, Transporte e Instalacion Acero de Refuerzo de 1/2" y 1 1/4" de 420 Mpa (4200Kg/cm²)</t>
  </si>
  <si>
    <t>kg</t>
  </si>
  <si>
    <t>En conglomerado</t>
  </si>
  <si>
    <t>Suministro  e istalacion de tuberia de 8" conta pa tipo chorote para accionamiento de valvula</t>
  </si>
  <si>
    <t>Instalacion de tuberia PVC de 3"</t>
  </si>
  <si>
    <t>M3</t>
  </si>
  <si>
    <t>ML</t>
  </si>
  <si>
    <t>Subbase para pavimento</t>
  </si>
  <si>
    <t>Gl</t>
  </si>
  <si>
    <t>Retiro de material sobrante en vehículo automotor</t>
  </si>
  <si>
    <t>Instalación de acometidas de 1/2" desde el tubo madre hasta el medidor</t>
  </si>
  <si>
    <t>Instalación de Válvulas</t>
  </si>
  <si>
    <t>Suministro  e instalación de tubería de 8" con tapa tipo chorote para accionamiento de válvula</t>
  </si>
  <si>
    <t>Empalme a tubería existente</t>
  </si>
  <si>
    <t>Instalación de tubería PVC de 6"</t>
  </si>
  <si>
    <t>En roca</t>
  </si>
  <si>
    <t xml:space="preserve">Dispersión de  material sobrante </t>
  </si>
  <si>
    <t>Anclaje a tubería existente incluye 4 tubos de 2" metálicos de 2 m c/u de largo  y alambre galvanizado</t>
  </si>
  <si>
    <t xml:space="preserve">FILADELDIA </t>
  </si>
  <si>
    <t>Reposición de alcantarillado carrera 10 transversal  en el municipio de Neira Caldas</t>
  </si>
  <si>
    <t>Cambio red acueducto carrera 10 transversal en el municipio de Neira Caldas</t>
  </si>
  <si>
    <t>Reposición de alcantarillado calle 8 entre la carrera 5 a la  7  en el municipio de Neira  Caldas</t>
  </si>
  <si>
    <t xml:space="preserve">Suministro e instalación de tapa con aro pozo de inspección en HD  D=0.60cm </t>
  </si>
  <si>
    <t>1.1</t>
  </si>
  <si>
    <t>Localizacion y replanteo de redes (Incl.levantamiento del sector y plano record)</t>
  </si>
  <si>
    <t>mts</t>
  </si>
  <si>
    <t>Cerramiento en polisombra Yute verde de H=2m, parales en guadua y Cinta Plástica.</t>
  </si>
  <si>
    <t>Señalizacion Vertical preventivas (Desvio, hombres trabajando, vía cerrada, barreras etc.)</t>
  </si>
  <si>
    <t>DEMOLICIONES VARIAS</t>
  </si>
  <si>
    <t>Demoliciones de pavimentos rigidos</t>
  </si>
  <si>
    <t>Demoliciones varias de muros en concretos, otros</t>
  </si>
  <si>
    <t>Demoliciones de Andenes, peatonales  y Sardinel en concreto hidráulico</t>
  </si>
  <si>
    <t>SOBREACARREOS</t>
  </si>
  <si>
    <t>3.1</t>
  </si>
  <si>
    <t>Retiro de sobrantes en vehículo Automotor</t>
  </si>
  <si>
    <t xml:space="preserve">EXCAVACIONES </t>
  </si>
  <si>
    <t>4.1</t>
  </si>
  <si>
    <t>Excavaciones en zanja - material Común  0 a 2 m</t>
  </si>
  <si>
    <t>Excavaciones en Material Conglomerado</t>
  </si>
  <si>
    <t>Entibado horizontal / vertical tipo 2</t>
  </si>
  <si>
    <t>RELLENOS COMPACTADOS</t>
  </si>
  <si>
    <t>5.1</t>
  </si>
  <si>
    <t>Rellenos compactos con material seleccionado  de excavación</t>
  </si>
  <si>
    <t>Rellenos compactos con material comun de cantera prestamo</t>
  </si>
  <si>
    <t>SUSTITUCIONES- BASES Y SUBBASES COMPACTOS</t>
  </si>
  <si>
    <t>Suministro e instalación de afirmado en andenes compactos espesor 0,10 m</t>
  </si>
  <si>
    <t>Suministro e instalcion de Sub-base tipo INVIAS E=0,15 m. incluye ensayos de densidad, protor.</t>
  </si>
  <si>
    <t>Suministro e instalacion Sustitucion en arena  para tuberías y atraques.</t>
  </si>
  <si>
    <t>ALCANTARILLADOS</t>
  </si>
  <si>
    <t xml:space="preserve"> Suministro e Instalación de tuberia corrugada PVC-S  de 160 mm (6"). Incluye manejo de aguas en zanja.</t>
  </si>
  <si>
    <t>Suministro e Instalacion tuberia corrugada PVC-S  de 315 mm (12").Incluye manejos de aguas en zanja.</t>
  </si>
  <si>
    <t>Empalmes a Cámaras d=1.20 m concreto 300 psi</t>
  </si>
  <si>
    <t>Empalmes a Cajas de Inspeccion Concreto 3000 psi</t>
  </si>
  <si>
    <t>Cámaras de Inspección D= 1.20 -Concreto  21 Mpa</t>
  </si>
  <si>
    <t>Base/ cañuela camara D=1.20 m en concreto 3000 psi</t>
  </si>
  <si>
    <t>Suministro e Instalacion Tapa D=0.60m en HF</t>
  </si>
  <si>
    <t>Cajas de Inspeccion de 0,50 x 0,50 x 0,80, Incluye tapa reforzada</t>
  </si>
  <si>
    <t xml:space="preserve">Losa en concreto reforzado de 1.50 x1.50 x 0,18m acero de refuerzo, doble parrillas No. 4 cada 15 cms. incluye antisol y acelerante. </t>
  </si>
  <si>
    <t>Instalacion de silla yee de 12 x 6".</t>
  </si>
  <si>
    <t xml:space="preserve">OBRAS EN CONCRETO </t>
  </si>
  <si>
    <t>Corte mecánizado profundidad  0.07 m</t>
  </si>
  <si>
    <t>Adecuacion de Andenes y Rampas  e= 0,08 m Concreto de 3000 Psi.</t>
  </si>
  <si>
    <t xml:space="preserve">Pavimento en rigido de 3000 Psi de espesor 0,12  en obra incluye Acelerante, Antisol, ensayos de laboratorios </t>
  </si>
  <si>
    <t xml:space="preserve">Techado provisional en Guadua y plástico en toda el area de la obra </t>
  </si>
  <si>
    <t>Entibado horizontal / vertical tipo 1</t>
  </si>
  <si>
    <t>Sub-base Pavimento e= 0,20 m</t>
  </si>
  <si>
    <t xml:space="preserve"> CONCRETOS</t>
  </si>
  <si>
    <t>Concretos de 21  Mpa para graderias y andenes</t>
  </si>
  <si>
    <t>Concreto para Pavimentos MR 42 hecho en obra</t>
  </si>
  <si>
    <t>Corte en disco abrasivo</t>
  </si>
  <si>
    <t>Suministro e Instalacion Tapa con Aro pozo de inspección en HD  D=O,60 M con empaque anti ruido y sistema de seguridad.</t>
  </si>
  <si>
    <t>Cajas de Inspeccion de 0,50 x 0,50, Incluye tapa reforzada</t>
  </si>
  <si>
    <t>Construcción de Cordon en suelo cemento para control y desvio de aguas lluvias y otras.</t>
  </si>
  <si>
    <t>Construcción de pasos peatonales en tableros, baranadas en madera</t>
  </si>
  <si>
    <t>Instalación de porta flanche de 10" PN 16</t>
  </si>
  <si>
    <t>Anclaje a tubería existente incluye 4 tubos metálicos de 2", 2 m de largo c/u y alambre galvanizado</t>
  </si>
  <si>
    <t xml:space="preserve">TOTAL  FILADELFIA </t>
  </si>
  <si>
    <t xml:space="preserve">TOTAL NEIRA </t>
  </si>
  <si>
    <t xml:space="preserve"> Instalación de tuberia corrugada PVC-S  de 160 mm (6"). Incluye manejo de aguas en zanja.</t>
  </si>
  <si>
    <t>Localizacion y replanteo (Incluye topografia y plano record)</t>
  </si>
  <si>
    <t>Excavacion en zanja - Roca - 0.0 a 2.0 Mts</t>
  </si>
  <si>
    <t>REPOSICIÓN DE LA RED DE ACUEDUCTO</t>
  </si>
  <si>
    <t>Instalación de tubería PVC presión RDE 21 de 3" incluye instalación de tees, codos y accesorios y transporte desde la planta al sitio de instalación.</t>
  </si>
  <si>
    <t>Instalacion de acometidas de 1/2" desde el tubo principal de 3" hasta el medidor</t>
  </si>
  <si>
    <t>Rellenos Compactados con Material de Cantera de Prestamo. (Afirmado compactado)</t>
  </si>
  <si>
    <t>Suministro, Transporte e Instalacion Subbase p/Pavimentos en Material Granular Seleccionado, compactado</t>
  </si>
  <si>
    <t>Empalmes a camara de inicio y fin en buen estado</t>
  </si>
  <si>
    <t>Suministro, Transporte e Instalacion Tapa HD D=0,60m p/Camara de Inspeccion</t>
  </si>
  <si>
    <t>Reposición de andenes en acabados de granito, tablón, ceramico u otro.</t>
  </si>
  <si>
    <t>Termo fusión de portaflanche</t>
  </si>
  <si>
    <t>Cerramiento con bombones y cinta de señalizacion</t>
  </si>
  <si>
    <t>Suministro transporte e instalcion Señal preventiva y reglamentaria SPO (1,2,3,4,5,6)</t>
  </si>
  <si>
    <t>Instalación de valla institucional 2x4 según diseño de Empocaldas</t>
  </si>
  <si>
    <t>DEMOLCIONES</t>
  </si>
  <si>
    <t>Corte con disco abrasivo concreto o asfalto</t>
  </si>
  <si>
    <t>Demolición de estructuras en concreto o asfaltico Incluye andenes, gradería, cañuelas y camaras</t>
  </si>
  <si>
    <t>Escvación en conglomerado de 0 a 2 m</t>
  </si>
  <si>
    <t>ESTRUCTURAS DE ALCANTARILLADO</t>
  </si>
  <si>
    <t>Instalación de tubería PVC de 18"</t>
  </si>
  <si>
    <t>Instalación de silletas de 18"x6" incluye suministro adhesivo</t>
  </si>
  <si>
    <t>Suministro e instalación de tapa con aro pozo de inspección en HF  D=0.60cm  tráfico pesado</t>
  </si>
  <si>
    <t>Emplame a camara existente</t>
  </si>
  <si>
    <t>Llenos con material del sitio</t>
  </si>
  <si>
    <t>Llenos con material de prestamo</t>
  </si>
  <si>
    <t xml:space="preserve">Sub base compactada para pavimento tipo INVIAS  e = 0,15 </t>
  </si>
  <si>
    <t>Suministro e instalación de concreto MR 42 hecho en obra</t>
  </si>
  <si>
    <t>Suministro e instalación de concreto de 3000 psi para andenes</t>
  </si>
  <si>
    <t xml:space="preserve">Suministro e instalación de concreto de 3000 psi para canales en concreto </t>
  </si>
  <si>
    <t>Suministro e instalación de sardinel en concreto</t>
  </si>
  <si>
    <t>ACERO DE REFUERO</t>
  </si>
  <si>
    <t>Suministro e instalación de acero de refuerzo.</t>
  </si>
  <si>
    <t>Suministro e instalación de malla electrosoldada Q5</t>
  </si>
  <si>
    <t>Suministro e instalación de reja para desagues de aguas lluvias con ancho de 0,50 m, en angulo de  11/2"*3/16" y barrroles en 7/8" cada 5 cms, incluye instalación, marco y marco de apoyo sobre canal.</t>
  </si>
  <si>
    <t xml:space="preserve">TOTAL RIOSUCIO </t>
  </si>
  <si>
    <t>Instalacion Tuberia PVC Corrugada 315mm (12") para Alcantarillado</t>
  </si>
  <si>
    <t>SUPIA</t>
  </si>
  <si>
    <t>Instalacion Tuberia PVC Corrugada 20") para Alcantarillado</t>
  </si>
  <si>
    <t>Instalación empalme pvc corrugado  de 20 X 6".</t>
  </si>
  <si>
    <t xml:space="preserve">TOTAL SUPIA </t>
  </si>
  <si>
    <t>Construcción red de acueducto Parcelación campestre Las Margaritas I Fase en el municipio de Risaralda Caldas</t>
  </si>
  <si>
    <t>Cerramiento con bombones y cinta</t>
  </si>
  <si>
    <t>Instalación tubería de polietileno con termo fusión de 3"</t>
  </si>
  <si>
    <t>Instalación tubería de polietileno con termo fusión de 4"</t>
  </si>
  <si>
    <t>Termo fusión de codo</t>
  </si>
  <si>
    <t>Termo fusión de reducciones</t>
  </si>
  <si>
    <t>RISARALDA</t>
  </si>
  <si>
    <t>TOTAL RISARALDA</t>
  </si>
  <si>
    <t xml:space="preserve">Instalacion de valla institucional 2x4 ( para todos los tramos) </t>
  </si>
  <si>
    <t xml:space="preserve">Acompañamiento social durante toda la obra ( 1 TRABAJADORA para todos los tramos) </t>
  </si>
  <si>
    <t xml:space="preserve">TOTAL GRUPO V FILADELFIA NEIRA RIOSUCIO SUPIA RISARALDA </t>
  </si>
  <si>
    <t xml:space="preserve">GRUPO V FILADELFIA - NEIRA RIOSUCIO SUPIA  RISARALDA </t>
  </si>
  <si>
    <t xml:space="preserve">Instalación de tubería de polietileno de 8" PN 16 por termofusión  Incluye transporte hasta el sitio a instalar </t>
  </si>
  <si>
    <t xml:space="preserve">Instalación de porta flanche de 8" PN 16 por termofusión  Incluye transporte hasta el sitio a instalar </t>
  </si>
  <si>
    <t>Instalación de tubería de polietileno por termofusión  de 10" PN 16 incluye sobre acarreo en vehiculo y al hombro</t>
  </si>
  <si>
    <t xml:space="preserve">Empalme a tubería existente incluye  la instalaciójn de reducciones </t>
  </si>
  <si>
    <t>PRELIMINARRES</t>
  </si>
  <si>
    <t>Demoliciones de andenes y pavimentos en concreto</t>
  </si>
  <si>
    <t>Corte mecanizado de pavimentos</t>
  </si>
  <si>
    <t>Excavación en conglomerado o roca suelta de 0,0 a 2,0 mts.</t>
  </si>
  <si>
    <t xml:space="preserve">Transporte e instalación de tubería PVC de 2" </t>
  </si>
  <si>
    <t>Transporte e instalación de Tee de 4*2"</t>
  </si>
  <si>
    <t>UN</t>
  </si>
  <si>
    <t>Suministro transporte e instalación de tapon de 2"</t>
  </si>
  <si>
    <t>Transporte e instalación de acometida desde el tubo principal de 2" hasta cada medidor  (Incluye empalme y puesta en funcionamiento de cada domiciliaria).</t>
  </si>
  <si>
    <t>Suministro transporte e instalación de afirmado compactado</t>
  </si>
  <si>
    <t>Sustitución en Arena limpia para Tuberías</t>
  </si>
  <si>
    <t>Evacuación de Escombros y Sobrantes en vehiculo automotor (Incluye permiso de utilización de escombrera)</t>
  </si>
  <si>
    <t>CONCRETO</t>
  </si>
  <si>
    <t>Concreto para pavimento MR 42 (Incluye antisol)</t>
  </si>
  <si>
    <t>ACERO</t>
  </si>
  <si>
    <t xml:space="preserve">Suministro e insalación de canastilla de apoyo dovelas en 5mm </t>
  </si>
  <si>
    <t xml:space="preserve">Suministro e instalación de acero para dovelas y pasadores </t>
  </si>
  <si>
    <t>Cerramiento con tela verde 1,8 m de altura  y soportes en guadua cada 2 metros</t>
  </si>
  <si>
    <t>Suministro trasnporte e instalación de señal preventiva y reglamentaria</t>
  </si>
  <si>
    <t>Suministro e instalación de valla institucional de 2*4</t>
  </si>
  <si>
    <t>Instalacion tuberia corrugada PVC-S  18".Incluye manejos de aguas en zanja.</t>
  </si>
  <si>
    <t>Instalacion de silla yee de 18 x 6".</t>
  </si>
  <si>
    <t xml:space="preserve"> Reposición y optimizacion de alcantarillado. localizado en la carrera 9 carrera 10 callejon, vía al cementerio. municipio de neira, caldas.-</t>
  </si>
  <si>
    <t>Reposición y optimizacion de alcantarillado. carrera 10  calles 6,5, calle real. municipio de  neira, caldas</t>
  </si>
  <si>
    <t>Reposicion de la red de acueducto y alcantarillado en la calle 32 carrera 10 y 11  en el municipio de supia caldas</t>
  </si>
  <si>
    <t>Reposicion de la red de acueducto y alcantarillado en la carrera 34 calles 6 y 7   en el municipio de supia caldas</t>
  </si>
  <si>
    <t>Localizacion  de estructuras de contención</t>
  </si>
  <si>
    <t>2.1.</t>
  </si>
  <si>
    <t>Excavaciones en material Común de 0  a  2 m</t>
  </si>
  <si>
    <t>2.2.</t>
  </si>
  <si>
    <t>Excavaciones en material Coglomerado</t>
  </si>
  <si>
    <t>RELLENOS COMPACTOS</t>
  </si>
  <si>
    <t xml:space="preserve">Relleno Apisonado de material de excavación </t>
  </si>
  <si>
    <t xml:space="preserve">TRANSPORTES MANUAL </t>
  </si>
  <si>
    <t>Transporte de material a hombro u otro medio, para conformar la Vía donde se presento el fallo.</t>
  </si>
  <si>
    <t xml:space="preserve">DEMOLICIONES </t>
  </si>
  <si>
    <t xml:space="preserve">Demoliciones  varias </t>
  </si>
  <si>
    <t>TRINCHOS</t>
  </si>
  <si>
    <t>5.1.</t>
  </si>
  <si>
    <t xml:space="preserve">Suministros, construccion de trincho en Guadua parales de 2 m de altura  visible 1.20 m, guaduas horizontales, fijada con alambre galvanizado cal. 13, guaduas debidamente inmunizadas. </t>
  </si>
  <si>
    <t xml:space="preserve">Estabilización de talud mediante trinchos en guadua y llenos para conformar la vía, sector la floresta finca la Moravia, municipio de Aránzazu, caldas. - (conducción Chamberí  Filadelfia)  </t>
  </si>
  <si>
    <r>
      <t>o</t>
    </r>
    <r>
      <rPr>
        <sz val="11"/>
        <color rgb="FF000000"/>
        <rFont val="Arial"/>
        <family val="2"/>
      </rPr>
      <t xml:space="preserve">bras de reposición de redes de alcantarillado en la calle 15 entre entre carreras 3 y 3c en el barrio los fundadores del municipio de riosucio caldas </t>
    </r>
  </si>
  <si>
    <t>Cambio red de conducción San Juan en el municipio de neira Caldas</t>
  </si>
  <si>
    <t xml:space="preserve">CORREGIDO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</si>
</sst>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\ #,##0;[Red]\-&quot;$&quot;\ #,##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??_);_(@_)"/>
    <numFmt numFmtId="168" formatCode="_(&quot;$&quot;\ * #,##0_);_(&quot;$&quot;\ * \(#,##0\);_(&quot;$&quot;\ * &quot;-&quot;??_);_(@_)"/>
    <numFmt numFmtId="169" formatCode="_-&quot;$&quot;* #,##0.00_-;\-&quot;$&quot;* #,##0.00_-;_-&quot;$&quot;* &quot;-&quot;??_-;_-@_-"/>
    <numFmt numFmtId="170" formatCode="_-&quot;$&quot;* #,##0_-;\-&quot;$&quot;* #,##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90">
    <xf numFmtId="0" fontId="0" fillId="0" borderId="0" xfId="0"/>
    <xf numFmtId="3" fontId="0" fillId="0" borderId="0" xfId="0" applyNumberFormat="1"/>
    <xf numFmtId="41" fontId="0" fillId="0" borderId="0" xfId="0" applyNumberForma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41" fontId="4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3" fillId="0" borderId="1" xfId="0" applyFont="1" applyFill="1" applyBorder="1" applyAlignment="1">
      <alignment vertical="center"/>
    </xf>
    <xf numFmtId="164" fontId="3" fillId="0" borderId="1" xfId="2" applyNumberFormat="1" applyFont="1" applyFill="1" applyBorder="1" applyAlignment="1">
      <alignment horizontal="right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2" fontId="4" fillId="0" borderId="1" xfId="0" applyNumberFormat="1" applyFont="1" applyFill="1" applyBorder="1" applyAlignment="1">
      <alignment vertical="center"/>
    </xf>
    <xf numFmtId="164" fontId="0" fillId="0" borderId="0" xfId="0" applyNumberFormat="1"/>
    <xf numFmtId="164" fontId="4" fillId="0" borderId="1" xfId="0" applyNumberFormat="1" applyFont="1" applyFill="1" applyBorder="1" applyAlignment="1">
      <alignment vertical="center"/>
    </xf>
    <xf numFmtId="41" fontId="0" fillId="0" borderId="0" xfId="1" applyFont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2" fontId="4" fillId="0" borderId="1" xfId="0" applyNumberFormat="1" applyFont="1" applyFill="1" applyBorder="1"/>
    <xf numFmtId="3" fontId="3" fillId="0" borderId="1" xfId="2" applyNumberFormat="1" applyFont="1" applyFill="1" applyBorder="1" applyAlignment="1">
      <alignment horizontal="right"/>
    </xf>
    <xf numFmtId="41" fontId="0" fillId="0" borderId="0" xfId="1" applyFont="1" applyFill="1"/>
    <xf numFmtId="0" fontId="0" fillId="0" borderId="0" xfId="0" applyFill="1"/>
    <xf numFmtId="0" fontId="3" fillId="0" borderId="1" xfId="4" applyFont="1" applyFill="1" applyBorder="1"/>
    <xf numFmtId="2" fontId="3" fillId="0" borderId="1" xfId="4" applyNumberFormat="1" applyFont="1" applyFill="1" applyBorder="1"/>
    <xf numFmtId="170" fontId="3" fillId="0" borderId="1" xfId="5" applyNumberFormat="1" applyFont="1" applyFill="1" applyBorder="1"/>
    <xf numFmtId="2" fontId="3" fillId="0" borderId="1" xfId="4" applyNumberFormat="1" applyFont="1" applyFill="1" applyBorder="1" applyAlignment="1">
      <alignment horizontal="center"/>
    </xf>
    <xf numFmtId="170" fontId="3" fillId="0" borderId="1" xfId="5" applyNumberFormat="1" applyFont="1" applyFill="1" applyBorder="1" applyAlignment="1">
      <alignment horizontal="center"/>
    </xf>
    <xf numFmtId="0" fontId="4" fillId="0" borderId="1" xfId="4" applyFont="1" applyFill="1" applyBorder="1" applyAlignment="1">
      <alignment horizontal="left" wrapText="1"/>
    </xf>
    <xf numFmtId="0" fontId="4" fillId="0" borderId="1" xfId="4" applyFont="1" applyFill="1" applyBorder="1" applyAlignment="1">
      <alignment horizontal="center"/>
    </xf>
    <xf numFmtId="2" fontId="4" fillId="0" borderId="1" xfId="4" applyNumberFormat="1" applyFont="1" applyFill="1" applyBorder="1"/>
    <xf numFmtId="170" fontId="4" fillId="0" borderId="1" xfId="5" applyNumberFormat="1" applyFont="1" applyFill="1" applyBorder="1" applyAlignment="1"/>
    <xf numFmtId="0" fontId="4" fillId="0" borderId="1" xfId="4" applyFont="1" applyFill="1" applyBorder="1" applyAlignment="1">
      <alignment horizontal="left" vertical="center" wrapText="1"/>
    </xf>
    <xf numFmtId="0" fontId="7" fillId="0" borderId="1" xfId="4" applyNumberFormat="1" applyFont="1" applyFill="1" applyBorder="1" applyAlignment="1">
      <alignment horizontal="center"/>
    </xf>
    <xf numFmtId="2" fontId="7" fillId="0" borderId="1" xfId="4" applyNumberFormat="1" applyFont="1" applyFill="1" applyBorder="1" applyAlignment="1"/>
    <xf numFmtId="0" fontId="3" fillId="0" borderId="1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left"/>
    </xf>
    <xf numFmtId="0" fontId="4" fillId="0" borderId="1" xfId="4" applyFont="1" applyFill="1" applyBorder="1" applyAlignment="1">
      <alignment horizontal="justify" vertical="center" wrapText="1"/>
    </xf>
    <xf numFmtId="0" fontId="3" fillId="0" borderId="1" xfId="4" applyFont="1" applyFill="1" applyBorder="1" applyAlignment="1">
      <alignment horizontal="left" wrapText="1"/>
    </xf>
    <xf numFmtId="0" fontId="3" fillId="0" borderId="1" xfId="4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/>
    <xf numFmtId="9" fontId="4" fillId="0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vertical="center"/>
    </xf>
    <xf numFmtId="0" fontId="1" fillId="0" borderId="0" xfId="0" applyFont="1" applyFill="1"/>
    <xf numFmtId="164" fontId="3" fillId="0" borderId="0" xfId="0" applyNumberFormat="1" applyFont="1" applyFill="1"/>
    <xf numFmtId="164" fontId="2" fillId="0" borderId="0" xfId="0" applyNumberFormat="1" applyFont="1"/>
    <xf numFmtId="41" fontId="2" fillId="0" borderId="0" xfId="1" applyFont="1"/>
    <xf numFmtId="0" fontId="2" fillId="0" borderId="0" xfId="0" applyFont="1"/>
    <xf numFmtId="164" fontId="5" fillId="0" borderId="0" xfId="0" applyNumberFormat="1" applyFont="1" applyFill="1"/>
    <xf numFmtId="3" fontId="4" fillId="0" borderId="1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41" fontId="2" fillId="0" borderId="0" xfId="0" applyNumberFormat="1" applyFont="1"/>
    <xf numFmtId="169" fontId="6" fillId="0" borderId="1" xfId="5" applyNumberFormat="1" applyFont="1" applyFill="1" applyBorder="1" applyAlignment="1"/>
    <xf numFmtId="41" fontId="5" fillId="0" borderId="0" xfId="1" applyFont="1" applyFill="1" applyAlignment="1"/>
    <xf numFmtId="41" fontId="4" fillId="0" borderId="1" xfId="1" applyFont="1" applyFill="1" applyBorder="1" applyAlignment="1">
      <alignment horizontal="center"/>
    </xf>
    <xf numFmtId="0" fontId="11" fillId="0" borderId="13" xfId="4" applyFont="1" applyFill="1" applyBorder="1" applyAlignment="1">
      <alignment vertical="center"/>
    </xf>
    <xf numFmtId="0" fontId="11" fillId="0" borderId="16" xfId="4" applyFont="1" applyFill="1" applyBorder="1" applyAlignment="1">
      <alignment vertical="center"/>
    </xf>
    <xf numFmtId="2" fontId="11" fillId="0" borderId="14" xfId="4" applyNumberFormat="1" applyFont="1" applyFill="1" applyBorder="1" applyAlignment="1">
      <alignment horizontal="center"/>
    </xf>
    <xf numFmtId="170" fontId="11" fillId="0" borderId="14" xfId="5" applyNumberFormat="1" applyFont="1" applyFill="1" applyBorder="1" applyAlignment="1"/>
    <xf numFmtId="3" fontId="11" fillId="0" borderId="17" xfId="5" applyNumberFormat="1" applyFont="1" applyFill="1" applyBorder="1" applyAlignment="1">
      <alignment horizontal="center"/>
    </xf>
    <xf numFmtId="0" fontId="12" fillId="0" borderId="20" xfId="4" applyFont="1" applyFill="1" applyBorder="1" applyAlignment="1">
      <alignment horizontal="center" vertical="center"/>
    </xf>
    <xf numFmtId="0" fontId="12" fillId="0" borderId="1" xfId="4" applyFont="1" applyFill="1" applyBorder="1" applyAlignment="1"/>
    <xf numFmtId="0" fontId="12" fillId="0" borderId="1" xfId="4" applyFont="1" applyFill="1" applyBorder="1" applyAlignment="1">
      <alignment horizontal="center"/>
    </xf>
    <xf numFmtId="2" fontId="12" fillId="0" borderId="1" xfId="4" applyNumberFormat="1" applyFont="1" applyFill="1" applyBorder="1" applyAlignment="1">
      <alignment horizontal="center"/>
    </xf>
    <xf numFmtId="169" fontId="12" fillId="0" borderId="1" xfId="5" applyNumberFormat="1" applyFont="1" applyFill="1" applyBorder="1" applyAlignment="1"/>
    <xf numFmtId="0" fontId="12" fillId="0" borderId="2" xfId="4" applyFont="1" applyFill="1" applyBorder="1" applyAlignment="1">
      <alignment wrapText="1"/>
    </xf>
    <xf numFmtId="0" fontId="11" fillId="0" borderId="20" xfId="4" applyFont="1" applyFill="1" applyBorder="1" applyAlignment="1">
      <alignment horizontal="center" vertical="center"/>
    </xf>
    <xf numFmtId="0" fontId="11" fillId="0" borderId="1" xfId="4" applyFont="1" applyFill="1" applyBorder="1" applyAlignment="1"/>
    <xf numFmtId="0" fontId="11" fillId="0" borderId="1" xfId="4" applyFont="1" applyFill="1" applyBorder="1" applyAlignment="1">
      <alignment horizontal="center"/>
    </xf>
    <xf numFmtId="2" fontId="11" fillId="0" borderId="1" xfId="4" applyNumberFormat="1" applyFont="1" applyFill="1" applyBorder="1" applyAlignment="1">
      <alignment horizontal="center"/>
    </xf>
    <xf numFmtId="170" fontId="11" fillId="0" borderId="1" xfId="5" applyNumberFormat="1" applyFont="1" applyFill="1" applyBorder="1" applyAlignment="1"/>
    <xf numFmtId="170" fontId="11" fillId="0" borderId="18" xfId="5" applyNumberFormat="1" applyFont="1" applyFill="1" applyBorder="1" applyAlignment="1">
      <alignment horizontal="right"/>
    </xf>
    <xf numFmtId="169" fontId="11" fillId="0" borderId="1" xfId="5" applyNumberFormat="1" applyFont="1" applyFill="1" applyBorder="1" applyAlignment="1"/>
    <xf numFmtId="0" fontId="12" fillId="0" borderId="1" xfId="4" applyFont="1" applyFill="1" applyBorder="1" applyAlignment="1">
      <alignment horizontal="left" wrapText="1"/>
    </xf>
    <xf numFmtId="0" fontId="12" fillId="0" borderId="1" xfId="4" applyFont="1" applyFill="1" applyBorder="1" applyAlignment="1">
      <alignment wrapText="1"/>
    </xf>
    <xf numFmtId="0" fontId="11" fillId="0" borderId="1" xfId="4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41" fontId="2" fillId="0" borderId="0" xfId="1" applyFont="1" applyFill="1"/>
    <xf numFmtId="2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2" fontId="4" fillId="0" borderId="1" xfId="4" applyNumberFormat="1" applyFont="1" applyFill="1" applyBorder="1" applyAlignment="1">
      <alignment vertical="center"/>
    </xf>
    <xf numFmtId="41" fontId="4" fillId="0" borderId="1" xfId="1" applyFont="1" applyFill="1" applyBorder="1" applyAlignment="1">
      <alignment horizontal="right"/>
    </xf>
    <xf numFmtId="41" fontId="4" fillId="0" borderId="1" xfId="1" applyFont="1" applyFill="1" applyBorder="1" applyAlignment="1"/>
    <xf numFmtId="41" fontId="4" fillId="0" borderId="1" xfId="1" applyFont="1" applyFill="1" applyBorder="1" applyAlignment="1">
      <alignment horizontal="right" vertical="center"/>
    </xf>
    <xf numFmtId="41" fontId="7" fillId="0" borderId="1" xfId="1" applyFont="1" applyFill="1" applyBorder="1" applyAlignment="1"/>
    <xf numFmtId="41" fontId="3" fillId="0" borderId="1" xfId="1" applyFont="1" applyFill="1" applyBorder="1" applyAlignment="1">
      <alignment horizontal="right"/>
    </xf>
    <xf numFmtId="41" fontId="3" fillId="0" borderId="1" xfId="1" applyFont="1" applyFill="1" applyBorder="1" applyAlignment="1">
      <alignment horizontal="center"/>
    </xf>
    <xf numFmtId="2" fontId="3" fillId="0" borderId="1" xfId="4" applyNumberFormat="1" applyFont="1" applyFill="1" applyBorder="1" applyAlignment="1">
      <alignment horizontal="center" vertical="center"/>
    </xf>
    <xf numFmtId="41" fontId="3" fillId="0" borderId="1" xfId="1" applyFont="1" applyFill="1" applyBorder="1" applyAlignment="1">
      <alignment horizontal="right" vertical="center"/>
    </xf>
    <xf numFmtId="41" fontId="4" fillId="0" borderId="1" xfId="1" applyFont="1" applyFill="1" applyBorder="1"/>
    <xf numFmtId="0" fontId="14" fillId="0" borderId="0" xfId="0" applyFont="1"/>
    <xf numFmtId="6" fontId="14" fillId="0" borderId="0" xfId="0" applyNumberFormat="1" applyFont="1"/>
    <xf numFmtId="170" fontId="14" fillId="0" borderId="0" xfId="0" applyNumberFormat="1" applyFont="1"/>
    <xf numFmtId="3" fontId="14" fillId="0" borderId="0" xfId="0" applyNumberFormat="1" applyFont="1"/>
    <xf numFmtId="0" fontId="3" fillId="0" borderId="1" xfId="0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2" applyNumberFormat="1" applyFont="1" applyFill="1" applyBorder="1"/>
    <xf numFmtId="164" fontId="4" fillId="0" borderId="1" xfId="2" applyNumberFormat="1" applyFont="1" applyFill="1" applyBorder="1" applyAlignment="1">
      <alignment horizontal="right"/>
    </xf>
    <xf numFmtId="41" fontId="4" fillId="0" borderId="1" xfId="1" applyFont="1" applyFill="1" applyBorder="1" applyAlignment="1">
      <alignment horizontal="left" wrapText="1"/>
    </xf>
    <xf numFmtId="164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3" fontId="0" fillId="0" borderId="0" xfId="0" applyNumberFormat="1" applyFill="1"/>
    <xf numFmtId="0" fontId="3" fillId="0" borderId="0" xfId="0" applyFont="1" applyFill="1"/>
    <xf numFmtId="0" fontId="5" fillId="0" borderId="0" xfId="0" applyFont="1" applyFill="1" applyAlignment="1">
      <alignment wrapText="1"/>
    </xf>
    <xf numFmtId="0" fontId="9" fillId="0" borderId="0" xfId="0" applyFont="1" applyFill="1"/>
    <xf numFmtId="0" fontId="0" fillId="0" borderId="0" xfId="0" applyFill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168" fontId="12" fillId="0" borderId="1" xfId="3" applyNumberFormat="1" applyFont="1" applyFill="1" applyBorder="1" applyAlignment="1">
      <alignment horizontal="right" vertical="center"/>
    </xf>
    <xf numFmtId="2" fontId="12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168" fontId="6" fillId="0" borderId="1" xfId="3" applyNumberFormat="1" applyFont="1" applyFill="1" applyBorder="1" applyAlignment="1">
      <alignment horizontal="right" vertical="center"/>
    </xf>
    <xf numFmtId="170" fontId="0" fillId="0" borderId="0" xfId="0" applyNumberFormat="1" applyFill="1"/>
    <xf numFmtId="0" fontId="5" fillId="0" borderId="0" xfId="0" applyFont="1" applyFill="1"/>
    <xf numFmtId="0" fontId="13" fillId="0" borderId="0" xfId="0" applyFont="1" applyFill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1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horizontal="center"/>
    </xf>
    <xf numFmtId="41" fontId="6" fillId="0" borderId="1" xfId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2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 wrapText="1"/>
    </xf>
    <xf numFmtId="0" fontId="11" fillId="0" borderId="15" xfId="4" applyFont="1" applyFill="1" applyBorder="1" applyAlignment="1">
      <alignment horizontal="center" vertical="center"/>
    </xf>
    <xf numFmtId="0" fontId="11" fillId="0" borderId="19" xfId="4" applyFont="1" applyFill="1" applyBorder="1" applyAlignment="1">
      <alignment horizontal="center" vertical="center"/>
    </xf>
    <xf numFmtId="0" fontId="11" fillId="0" borderId="10" xfId="4" applyFont="1" applyFill="1" applyBorder="1" applyAlignment="1">
      <alignment horizontal="center" vertical="center"/>
    </xf>
    <xf numFmtId="0" fontId="11" fillId="0" borderId="11" xfId="4" applyFont="1" applyFill="1" applyBorder="1" applyAlignment="1">
      <alignment horizontal="center" vertical="center"/>
    </xf>
    <xf numFmtId="0" fontId="11" fillId="0" borderId="12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</cellXfs>
  <cellStyles count="7">
    <cellStyle name="Millares" xfId="2" builtinId="3"/>
    <cellStyle name="Millares [0]" xfId="1" builtinId="6"/>
    <cellStyle name="Millares 13" xfId="6"/>
    <cellStyle name="Moneda" xfId="3" builtinId="4"/>
    <cellStyle name="Moneda 2" xfId="5"/>
    <cellStyle name="Normal" xfId="0" builtinId="0"/>
    <cellStyle name="Normal 7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ueducto%20Calle%2037%20entre%20carreras%207%20y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era 8  entre calles28ALCAN "/>
    </sheetNames>
    <sheetDataSet>
      <sheetData sheetId="0">
        <row r="3">
          <cell r="A3" t="str">
            <v>REPOSICIÓN RED DE  ACUEDUCTO EN LA CALLE 37 ENTRE CARRERAS 7 Y 9   EN EL MUNICIPIO DE SUPIA CALDAS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2"/>
  <sheetViews>
    <sheetView tabSelected="1" view="pageLayout" zoomScaleNormal="100" workbookViewId="0">
      <selection activeCell="A20" sqref="A20"/>
    </sheetView>
  </sheetViews>
  <sheetFormatPr baseColWidth="10" defaultRowHeight="15" x14ac:dyDescent="0.25"/>
  <cols>
    <col min="1" max="1" width="11.7109375" bestFit="1" customWidth="1"/>
    <col min="2" max="2" width="33" customWidth="1"/>
    <col min="4" max="4" width="11.7109375" bestFit="1" customWidth="1"/>
    <col min="5" max="5" width="18.85546875" customWidth="1"/>
    <col min="6" max="6" width="24.28515625" customWidth="1"/>
    <col min="7" max="8" width="12.5703125" bestFit="1" customWidth="1"/>
    <col min="13" max="13" width="19.5703125" customWidth="1"/>
  </cols>
  <sheetData>
    <row r="1" spans="1:7" ht="15.75" customHeight="1" x14ac:dyDescent="0.25">
      <c r="A1" s="166" t="s">
        <v>271</v>
      </c>
      <c r="B1" s="166"/>
      <c r="C1" s="166"/>
      <c r="D1" s="166"/>
      <c r="E1" s="166"/>
      <c r="F1" s="166"/>
      <c r="G1" s="32"/>
    </row>
    <row r="2" spans="1:7" ht="15.75" customHeight="1" x14ac:dyDescent="0.25">
      <c r="A2" s="166" t="s">
        <v>223</v>
      </c>
      <c r="B2" s="166"/>
      <c r="C2" s="166"/>
      <c r="D2" s="166"/>
      <c r="E2" s="166"/>
      <c r="F2" s="166"/>
      <c r="G2" s="126"/>
    </row>
    <row r="3" spans="1:7" x14ac:dyDescent="0.25">
      <c r="A3" s="32"/>
      <c r="B3" s="32"/>
      <c r="C3" s="32"/>
      <c r="D3" s="32"/>
      <c r="E3" s="32"/>
      <c r="F3" s="32"/>
      <c r="G3" s="32"/>
    </row>
    <row r="4" spans="1:7" x14ac:dyDescent="0.25">
      <c r="A4" s="32"/>
      <c r="B4" s="32"/>
      <c r="C4" s="32"/>
      <c r="D4" s="32"/>
      <c r="E4" s="32"/>
      <c r="F4" s="32"/>
      <c r="G4" s="32"/>
    </row>
    <row r="5" spans="1:7" ht="18" x14ac:dyDescent="0.25">
      <c r="A5" s="32"/>
      <c r="B5" s="127" t="s">
        <v>111</v>
      </c>
      <c r="C5" s="32"/>
      <c r="D5" s="32"/>
      <c r="E5" s="32"/>
      <c r="F5" s="32"/>
      <c r="G5" s="32"/>
    </row>
    <row r="6" spans="1:7" x14ac:dyDescent="0.25">
      <c r="A6" s="32"/>
      <c r="B6" s="32"/>
      <c r="C6" s="32"/>
      <c r="D6" s="32"/>
      <c r="E6" s="32"/>
      <c r="F6" s="32"/>
      <c r="G6" s="32"/>
    </row>
    <row r="7" spans="1:7" x14ac:dyDescent="0.25">
      <c r="A7" s="158" t="s">
        <v>3</v>
      </c>
      <c r="B7" s="158"/>
      <c r="C7" s="158"/>
      <c r="D7" s="158"/>
      <c r="E7" s="158"/>
      <c r="F7" s="158"/>
      <c r="G7" s="32"/>
    </row>
    <row r="8" spans="1:7" x14ac:dyDescent="0.25">
      <c r="A8" s="157" t="s">
        <v>4</v>
      </c>
      <c r="B8" s="157" t="s">
        <v>0</v>
      </c>
      <c r="C8" s="157" t="s">
        <v>5</v>
      </c>
      <c r="D8" s="157" t="s">
        <v>6</v>
      </c>
      <c r="E8" s="157"/>
      <c r="F8" s="157"/>
      <c r="G8" s="32"/>
    </row>
    <row r="9" spans="1:7" x14ac:dyDescent="0.25">
      <c r="A9" s="157"/>
      <c r="B9" s="157"/>
      <c r="C9" s="157"/>
      <c r="D9" s="23" t="s">
        <v>7</v>
      </c>
      <c r="E9" s="23" t="s">
        <v>8</v>
      </c>
      <c r="F9" s="23" t="s">
        <v>9</v>
      </c>
      <c r="G9" s="32"/>
    </row>
    <row r="10" spans="1:7" x14ac:dyDescent="0.25">
      <c r="A10" s="118">
        <v>1</v>
      </c>
      <c r="B10" s="13" t="s">
        <v>10</v>
      </c>
      <c r="C10" s="157"/>
      <c r="D10" s="157"/>
      <c r="E10" s="157"/>
      <c r="F10" s="15"/>
      <c r="G10" s="32"/>
    </row>
    <row r="11" spans="1:7" ht="29.25" x14ac:dyDescent="0.25">
      <c r="A11" s="118">
        <f>A10+1</f>
        <v>2</v>
      </c>
      <c r="B11" s="12" t="s">
        <v>11</v>
      </c>
      <c r="C11" s="118" t="s">
        <v>12</v>
      </c>
      <c r="D11" s="19">
        <v>300</v>
      </c>
      <c r="E11" s="27">
        <v>5214</v>
      </c>
      <c r="F11" s="122">
        <f t="shared" ref="F11:F22" si="0">ROUND(D11*E11,0)</f>
        <v>1564200</v>
      </c>
      <c r="G11" s="32"/>
    </row>
    <row r="12" spans="1:7" x14ac:dyDescent="0.25">
      <c r="A12" s="118">
        <f>A11+1</f>
        <v>3</v>
      </c>
      <c r="B12" s="13" t="s">
        <v>22</v>
      </c>
      <c r="C12" s="15"/>
      <c r="D12" s="15"/>
      <c r="E12" s="27"/>
      <c r="F12" s="122">
        <f t="shared" si="0"/>
        <v>0</v>
      </c>
      <c r="G12" s="32"/>
    </row>
    <row r="13" spans="1:7" x14ac:dyDescent="0.25">
      <c r="A13" s="118">
        <f t="shared" ref="A13:A22" si="1">A12+1</f>
        <v>4</v>
      </c>
      <c r="B13" s="12" t="s">
        <v>23</v>
      </c>
      <c r="C13" s="118" t="s">
        <v>53</v>
      </c>
      <c r="D13" s="19">
        <v>140</v>
      </c>
      <c r="E13" s="27">
        <v>26317</v>
      </c>
      <c r="F13" s="122">
        <f t="shared" si="0"/>
        <v>3684380</v>
      </c>
      <c r="G13" s="32"/>
    </row>
    <row r="14" spans="1:7" x14ac:dyDescent="0.25">
      <c r="A14" s="118">
        <f t="shared" si="1"/>
        <v>5</v>
      </c>
      <c r="B14" s="12" t="s">
        <v>108</v>
      </c>
      <c r="C14" s="118" t="s">
        <v>53</v>
      </c>
      <c r="D14" s="19">
        <v>40</v>
      </c>
      <c r="E14" s="27">
        <v>43000</v>
      </c>
      <c r="F14" s="122">
        <f t="shared" si="0"/>
        <v>1720000</v>
      </c>
      <c r="G14" s="32"/>
    </row>
    <row r="15" spans="1:7" x14ac:dyDescent="0.25">
      <c r="A15" s="118">
        <f t="shared" si="1"/>
        <v>6</v>
      </c>
      <c r="B15" s="12" t="s">
        <v>109</v>
      </c>
      <c r="C15" s="118" t="s">
        <v>53</v>
      </c>
      <c r="D15" s="19">
        <v>40</v>
      </c>
      <c r="E15" s="27">
        <v>22000</v>
      </c>
      <c r="F15" s="122">
        <f t="shared" si="0"/>
        <v>880000</v>
      </c>
      <c r="G15" s="32"/>
    </row>
    <row r="16" spans="1:7" x14ac:dyDescent="0.25">
      <c r="A16" s="118">
        <f t="shared" si="1"/>
        <v>7</v>
      </c>
      <c r="B16" s="101" t="s">
        <v>63</v>
      </c>
      <c r="C16" s="15"/>
      <c r="D16" s="15"/>
      <c r="E16" s="27"/>
      <c r="F16" s="122">
        <f t="shared" si="0"/>
        <v>0</v>
      </c>
      <c r="G16" s="32"/>
    </row>
    <row r="17" spans="1:10" ht="57.75" x14ac:dyDescent="0.25">
      <c r="A17" s="118">
        <f t="shared" si="1"/>
        <v>8</v>
      </c>
      <c r="B17" s="12" t="s">
        <v>224</v>
      </c>
      <c r="C17" s="118" t="s">
        <v>12</v>
      </c>
      <c r="D17" s="19">
        <v>300</v>
      </c>
      <c r="E17" s="27">
        <v>45000</v>
      </c>
      <c r="F17" s="122">
        <f t="shared" si="0"/>
        <v>13500000</v>
      </c>
      <c r="G17" s="32"/>
    </row>
    <row r="18" spans="1:10" ht="43.5" x14ac:dyDescent="0.25">
      <c r="A18" s="118">
        <f t="shared" si="1"/>
        <v>9</v>
      </c>
      <c r="B18" s="12" t="s">
        <v>225</v>
      </c>
      <c r="C18" s="118" t="s">
        <v>28</v>
      </c>
      <c r="D18" s="19">
        <v>2</v>
      </c>
      <c r="E18" s="27">
        <v>150000</v>
      </c>
      <c r="F18" s="122">
        <f t="shared" si="0"/>
        <v>300000</v>
      </c>
      <c r="G18" s="32"/>
    </row>
    <row r="19" spans="1:10" x14ac:dyDescent="0.25">
      <c r="A19" s="118">
        <f t="shared" si="1"/>
        <v>10</v>
      </c>
      <c r="B19" s="12" t="s">
        <v>106</v>
      </c>
      <c r="C19" s="118" t="s">
        <v>28</v>
      </c>
      <c r="D19" s="19">
        <v>2</v>
      </c>
      <c r="E19" s="27">
        <v>390000</v>
      </c>
      <c r="F19" s="122">
        <f t="shared" si="0"/>
        <v>780000</v>
      </c>
      <c r="G19" s="32"/>
    </row>
    <row r="20" spans="1:10" ht="57.75" x14ac:dyDescent="0.25">
      <c r="A20" s="118">
        <f t="shared" si="1"/>
        <v>11</v>
      </c>
      <c r="B20" s="12" t="s">
        <v>110</v>
      </c>
      <c r="C20" s="118" t="s">
        <v>28</v>
      </c>
      <c r="D20" s="19">
        <v>2</v>
      </c>
      <c r="E20" s="27">
        <v>350000</v>
      </c>
      <c r="F20" s="122">
        <f t="shared" si="0"/>
        <v>700000</v>
      </c>
      <c r="G20" s="32"/>
      <c r="I20" t="s">
        <v>1</v>
      </c>
    </row>
    <row r="21" spans="1:10" x14ac:dyDescent="0.25">
      <c r="A21" s="118">
        <f t="shared" si="1"/>
        <v>12</v>
      </c>
      <c r="B21" s="13" t="s">
        <v>33</v>
      </c>
      <c r="C21" s="15"/>
      <c r="D21" s="15"/>
      <c r="E21" s="27"/>
      <c r="F21" s="122">
        <f t="shared" si="0"/>
        <v>0</v>
      </c>
      <c r="G21" s="32"/>
    </row>
    <row r="22" spans="1:10" ht="29.25" x14ac:dyDescent="0.25">
      <c r="A22" s="118">
        <f t="shared" si="1"/>
        <v>13</v>
      </c>
      <c r="B22" s="12" t="s">
        <v>35</v>
      </c>
      <c r="C22" s="118" t="s">
        <v>53</v>
      </c>
      <c r="D22" s="19">
        <v>140</v>
      </c>
      <c r="E22" s="27">
        <v>20553</v>
      </c>
      <c r="F22" s="122">
        <f t="shared" si="0"/>
        <v>2877420</v>
      </c>
      <c r="G22" s="32"/>
    </row>
    <row r="23" spans="1:10" x14ac:dyDescent="0.25">
      <c r="A23" s="116"/>
      <c r="B23" s="13" t="s">
        <v>46</v>
      </c>
      <c r="C23" s="23"/>
      <c r="D23" s="57"/>
      <c r="E23" s="16"/>
      <c r="F23" s="16">
        <f>SUM(F11:F22)</f>
        <v>26006000</v>
      </c>
      <c r="G23" s="32"/>
    </row>
    <row r="24" spans="1:10" x14ac:dyDescent="0.25">
      <c r="A24" s="14"/>
      <c r="B24" s="14" t="s">
        <v>49</v>
      </c>
      <c r="C24" s="14"/>
      <c r="D24" s="14"/>
      <c r="E24" s="14"/>
      <c r="F24" s="17">
        <f>ROUND(F23/1.3495,0)</f>
        <v>19270841</v>
      </c>
      <c r="G24" s="32"/>
    </row>
    <row r="25" spans="1:10" x14ac:dyDescent="0.25">
      <c r="A25" s="14"/>
      <c r="B25" s="14" t="s">
        <v>50</v>
      </c>
      <c r="C25" s="58">
        <v>0.24</v>
      </c>
      <c r="D25" s="14"/>
      <c r="E25" s="14"/>
      <c r="F25" s="17">
        <f>ROUND(F24*C25,0)</f>
        <v>4625002</v>
      </c>
      <c r="G25" s="32"/>
      <c r="J25" s="20"/>
    </row>
    <row r="26" spans="1:10" x14ac:dyDescent="0.25">
      <c r="A26" s="14"/>
      <c r="B26" s="14" t="s">
        <v>47</v>
      </c>
      <c r="C26" s="58">
        <v>0.05</v>
      </c>
      <c r="D26" s="14"/>
      <c r="E26" s="14"/>
      <c r="F26" s="17">
        <f>ROUND(F24*C26,0)</f>
        <v>963542</v>
      </c>
      <c r="G26" s="32"/>
    </row>
    <row r="27" spans="1:10" x14ac:dyDescent="0.25">
      <c r="A27" s="14"/>
      <c r="B27" s="14" t="s">
        <v>51</v>
      </c>
      <c r="C27" s="58">
        <v>0.05</v>
      </c>
      <c r="D27" s="14"/>
      <c r="E27" s="14"/>
      <c r="F27" s="17">
        <f>ROUND(F24*C27,0)</f>
        <v>963542</v>
      </c>
      <c r="G27" s="32"/>
    </row>
    <row r="28" spans="1:10" x14ac:dyDescent="0.25">
      <c r="A28" s="14"/>
      <c r="B28" s="59" t="s">
        <v>52</v>
      </c>
      <c r="C28" s="60">
        <v>0.19</v>
      </c>
      <c r="D28" s="51"/>
      <c r="E28" s="51"/>
      <c r="F28" s="21">
        <f>ROUND(F27*19%,0)</f>
        <v>183073</v>
      </c>
      <c r="G28" s="32"/>
    </row>
    <row r="29" spans="1:10" x14ac:dyDescent="0.25">
      <c r="A29" s="14"/>
      <c r="B29" s="13" t="s">
        <v>46</v>
      </c>
      <c r="C29" s="14"/>
      <c r="D29" s="14"/>
      <c r="E29" s="14"/>
      <c r="F29" s="18">
        <f>SUM(F24:F28)</f>
        <v>26006000</v>
      </c>
      <c r="G29" s="32"/>
    </row>
    <row r="30" spans="1:10" ht="15.75" thickBot="1" x14ac:dyDescent="0.3">
      <c r="A30" s="32"/>
      <c r="B30" s="32"/>
      <c r="C30" s="32"/>
      <c r="D30" s="32"/>
      <c r="E30" s="32"/>
      <c r="F30" s="32"/>
      <c r="G30" s="32"/>
    </row>
    <row r="31" spans="1:10" ht="54.75" customHeight="1" thickBot="1" x14ac:dyDescent="0.3">
      <c r="A31" s="163" t="s">
        <v>268</v>
      </c>
      <c r="B31" s="164"/>
      <c r="C31" s="164"/>
      <c r="D31" s="164"/>
      <c r="E31" s="164"/>
      <c r="F31" s="165"/>
      <c r="G31" s="32"/>
    </row>
    <row r="32" spans="1:10" x14ac:dyDescent="0.25">
      <c r="A32" s="149"/>
      <c r="B32" s="149"/>
      <c r="C32" s="149"/>
      <c r="D32" s="149"/>
      <c r="E32" s="149"/>
      <c r="F32" s="149"/>
      <c r="G32" s="32"/>
    </row>
    <row r="33" spans="1:7" x14ac:dyDescent="0.25">
      <c r="A33" s="167" t="s">
        <v>4</v>
      </c>
      <c r="B33" s="167" t="s">
        <v>0</v>
      </c>
      <c r="C33" s="167" t="s">
        <v>5</v>
      </c>
      <c r="D33" s="167" t="s">
        <v>6</v>
      </c>
      <c r="E33" s="167"/>
      <c r="F33" s="167"/>
      <c r="G33" s="32"/>
    </row>
    <row r="34" spans="1:7" x14ac:dyDescent="0.25">
      <c r="A34" s="167"/>
      <c r="B34" s="167"/>
      <c r="C34" s="167"/>
      <c r="D34" s="52" t="s">
        <v>7</v>
      </c>
      <c r="E34" s="52" t="s">
        <v>8</v>
      </c>
      <c r="F34" s="52" t="s">
        <v>9</v>
      </c>
      <c r="G34" s="32"/>
    </row>
    <row r="35" spans="1:7" ht="15.75" thickBot="1" x14ac:dyDescent="0.3">
      <c r="A35" s="150"/>
      <c r="B35" s="150"/>
      <c r="C35" s="150"/>
      <c r="D35" s="150"/>
      <c r="E35" s="150"/>
      <c r="F35" s="150"/>
      <c r="G35" s="32"/>
    </row>
    <row r="36" spans="1:7" x14ac:dyDescent="0.25">
      <c r="A36" s="151">
        <v>1</v>
      </c>
      <c r="B36" s="152" t="s">
        <v>10</v>
      </c>
      <c r="C36" s="152"/>
      <c r="D36" s="152"/>
      <c r="E36" s="152"/>
      <c r="F36" s="152"/>
      <c r="G36" s="32"/>
    </row>
    <row r="37" spans="1:7" ht="29.25" x14ac:dyDescent="0.25">
      <c r="A37" s="141" t="s">
        <v>116</v>
      </c>
      <c r="B37" s="3" t="s">
        <v>254</v>
      </c>
      <c r="C37" s="141" t="s">
        <v>118</v>
      </c>
      <c r="D37" s="142">
        <v>64</v>
      </c>
      <c r="E37" s="143">
        <v>6807</v>
      </c>
      <c r="F37" s="143">
        <f>ROUND(D37*E37,0)</f>
        <v>435648</v>
      </c>
      <c r="G37" s="32"/>
    </row>
    <row r="38" spans="1:7" x14ac:dyDescent="0.25">
      <c r="A38" s="153">
        <v>2</v>
      </c>
      <c r="B38" s="154" t="s">
        <v>128</v>
      </c>
      <c r="C38" s="153"/>
      <c r="D38" s="155"/>
      <c r="E38" s="156" t="s">
        <v>1</v>
      </c>
      <c r="F38" s="156"/>
      <c r="G38" s="32"/>
    </row>
    <row r="39" spans="1:7" ht="29.25" x14ac:dyDescent="0.25">
      <c r="A39" s="141" t="s">
        <v>255</v>
      </c>
      <c r="B39" s="154" t="s">
        <v>256</v>
      </c>
      <c r="C39" s="141" t="s">
        <v>74</v>
      </c>
      <c r="D39" s="142">
        <v>207.75</v>
      </c>
      <c r="E39" s="143">
        <v>31257</v>
      </c>
      <c r="F39" s="143">
        <f>ROUND(D39*E39,0)</f>
        <v>6493642</v>
      </c>
      <c r="G39" s="32"/>
    </row>
    <row r="40" spans="1:7" ht="29.25" x14ac:dyDescent="0.25">
      <c r="A40" s="141" t="s">
        <v>257</v>
      </c>
      <c r="B40" s="154" t="s">
        <v>258</v>
      </c>
      <c r="C40" s="141" t="s">
        <v>74</v>
      </c>
      <c r="D40" s="142">
        <v>20.25</v>
      </c>
      <c r="E40" s="143">
        <v>38423</v>
      </c>
      <c r="F40" s="143">
        <f>ROUND(D40*E40,0)</f>
        <v>778066</v>
      </c>
      <c r="G40" s="32"/>
    </row>
    <row r="41" spans="1:7" x14ac:dyDescent="0.25">
      <c r="A41" s="141">
        <v>3</v>
      </c>
      <c r="B41" s="3" t="s">
        <v>259</v>
      </c>
      <c r="C41" s="141"/>
      <c r="D41" s="142"/>
      <c r="E41" s="143" t="s">
        <v>1</v>
      </c>
      <c r="F41" s="143"/>
      <c r="G41" s="32"/>
    </row>
    <row r="42" spans="1:7" ht="29.25" x14ac:dyDescent="0.25">
      <c r="A42" s="141" t="s">
        <v>126</v>
      </c>
      <c r="B42" s="3" t="s">
        <v>260</v>
      </c>
      <c r="C42" s="141" t="s">
        <v>74</v>
      </c>
      <c r="D42" s="142">
        <v>217.5</v>
      </c>
      <c r="E42" s="143">
        <v>26058</v>
      </c>
      <c r="F42" s="143">
        <f>ROUND(D42*E42,0)</f>
        <v>5667615</v>
      </c>
      <c r="G42" s="32"/>
    </row>
    <row r="43" spans="1:7" x14ac:dyDescent="0.25">
      <c r="A43" s="141">
        <v>4</v>
      </c>
      <c r="B43" s="6" t="s">
        <v>261</v>
      </c>
      <c r="C43" s="141"/>
      <c r="D43" s="142"/>
      <c r="E43" s="143" t="s">
        <v>1</v>
      </c>
      <c r="F43" s="143"/>
      <c r="G43" s="32"/>
    </row>
    <row r="44" spans="1:7" ht="43.5" x14ac:dyDescent="0.25">
      <c r="A44" s="141" t="s">
        <v>129</v>
      </c>
      <c r="B44" s="5" t="s">
        <v>262</v>
      </c>
      <c r="C44" s="141" t="s">
        <v>74</v>
      </c>
      <c r="D44" s="142">
        <v>172.5</v>
      </c>
      <c r="E44" s="143">
        <v>15453</v>
      </c>
      <c r="F44" s="143">
        <f>ROUND(D44*E44,0)</f>
        <v>2665643</v>
      </c>
      <c r="G44" s="32"/>
    </row>
    <row r="45" spans="1:7" x14ac:dyDescent="0.25">
      <c r="A45" s="141">
        <v>5</v>
      </c>
      <c r="B45" s="6" t="s">
        <v>263</v>
      </c>
      <c r="C45" s="141"/>
      <c r="D45" s="142"/>
      <c r="E45" s="143" t="s">
        <v>1</v>
      </c>
      <c r="F45" s="143"/>
      <c r="G45" s="32"/>
    </row>
    <row r="46" spans="1:7" x14ac:dyDescent="0.25">
      <c r="A46" s="141" t="s">
        <v>134</v>
      </c>
      <c r="B46" s="4" t="s">
        <v>264</v>
      </c>
      <c r="C46" s="141" t="s">
        <v>74</v>
      </c>
      <c r="D46" s="142">
        <v>2</v>
      </c>
      <c r="E46" s="143">
        <v>107955</v>
      </c>
      <c r="F46" s="143">
        <f>ROUND(D46*E46,0)</f>
        <v>215910</v>
      </c>
      <c r="G46" s="32"/>
    </row>
    <row r="47" spans="1:7" x14ac:dyDescent="0.25">
      <c r="A47" s="141">
        <v>5</v>
      </c>
      <c r="B47" s="6" t="s">
        <v>265</v>
      </c>
      <c r="C47" s="141"/>
      <c r="D47" s="142"/>
      <c r="E47" s="143" t="s">
        <v>1</v>
      </c>
      <c r="F47" s="143"/>
      <c r="G47" s="32"/>
    </row>
    <row r="48" spans="1:7" ht="86.25" x14ac:dyDescent="0.25">
      <c r="A48" s="141" t="s">
        <v>266</v>
      </c>
      <c r="B48" s="3" t="s">
        <v>267</v>
      </c>
      <c r="C48" s="141" t="s">
        <v>14</v>
      </c>
      <c r="D48" s="142">
        <v>78</v>
      </c>
      <c r="E48" s="143">
        <v>89781</v>
      </c>
      <c r="F48" s="143">
        <f>ROUND(D48*E48,0)</f>
        <v>7002918</v>
      </c>
      <c r="G48" s="32"/>
    </row>
    <row r="49" spans="1:7" x14ac:dyDescent="0.25">
      <c r="A49" s="148"/>
      <c r="B49" s="13" t="s">
        <v>46</v>
      </c>
      <c r="C49" s="23"/>
      <c r="D49" s="57"/>
      <c r="E49" s="16"/>
      <c r="F49" s="16">
        <f>SUM(F37:F48)</f>
        <v>23259442</v>
      </c>
      <c r="G49" s="32"/>
    </row>
    <row r="50" spans="1:7" x14ac:dyDescent="0.25">
      <c r="A50" s="14"/>
      <c r="B50" s="14" t="s">
        <v>49</v>
      </c>
      <c r="C50" s="14"/>
      <c r="D50" s="14"/>
      <c r="E50" s="14"/>
      <c r="F50" s="17">
        <f>ROUND(F49/1.3495,0)</f>
        <v>17235600</v>
      </c>
      <c r="G50" s="32"/>
    </row>
    <row r="51" spans="1:7" x14ac:dyDescent="0.25">
      <c r="A51" s="14"/>
      <c r="B51" s="14" t="s">
        <v>50</v>
      </c>
      <c r="C51" s="58">
        <v>0.24</v>
      </c>
      <c r="D51" s="14"/>
      <c r="E51" s="14"/>
      <c r="F51" s="17">
        <f>ROUND(F50*C51,0)</f>
        <v>4136544</v>
      </c>
      <c r="G51" s="32"/>
    </row>
    <row r="52" spans="1:7" x14ac:dyDescent="0.25">
      <c r="A52" s="14"/>
      <c r="B52" s="14" t="s">
        <v>47</v>
      </c>
      <c r="C52" s="58">
        <v>0.05</v>
      </c>
      <c r="D52" s="14"/>
      <c r="E52" s="14"/>
      <c r="F52" s="17">
        <f>ROUND(F50*C52,0)</f>
        <v>861780</v>
      </c>
      <c r="G52" s="32"/>
    </row>
    <row r="53" spans="1:7" x14ac:dyDescent="0.25">
      <c r="A53" s="14"/>
      <c r="B53" s="14" t="s">
        <v>51</v>
      </c>
      <c r="C53" s="58">
        <v>0.05</v>
      </c>
      <c r="D53" s="14"/>
      <c r="E53" s="14"/>
      <c r="F53" s="17">
        <f>ROUND(F50*C53,0)</f>
        <v>861780</v>
      </c>
      <c r="G53" s="32"/>
    </row>
    <row r="54" spans="1:7" x14ac:dyDescent="0.25">
      <c r="A54" s="14"/>
      <c r="B54" s="59" t="s">
        <v>52</v>
      </c>
      <c r="C54" s="60">
        <v>0.19</v>
      </c>
      <c r="D54" s="51"/>
      <c r="E54" s="51"/>
      <c r="F54" s="21">
        <f>ROUND(F53*19%,0)</f>
        <v>163738</v>
      </c>
      <c r="G54" s="32"/>
    </row>
    <row r="55" spans="1:7" x14ac:dyDescent="0.25">
      <c r="A55" s="14"/>
      <c r="B55" s="13" t="s">
        <v>46</v>
      </c>
      <c r="C55" s="14"/>
      <c r="D55" s="14"/>
      <c r="E55" s="14"/>
      <c r="F55" s="18">
        <f>SUM(F50:F54)</f>
        <v>23259442</v>
      </c>
      <c r="G55" s="32"/>
    </row>
    <row r="56" spans="1:7" x14ac:dyDescent="0.25">
      <c r="A56" s="32"/>
      <c r="B56" s="32"/>
      <c r="C56" s="32"/>
      <c r="D56" s="32"/>
      <c r="E56" s="32"/>
      <c r="F56" s="32"/>
      <c r="G56" s="32"/>
    </row>
    <row r="57" spans="1:7" x14ac:dyDescent="0.25">
      <c r="A57" s="32"/>
      <c r="B57" s="32"/>
      <c r="C57" s="32"/>
      <c r="D57" s="32"/>
      <c r="E57" s="32"/>
      <c r="F57" s="32"/>
      <c r="G57" s="32"/>
    </row>
    <row r="58" spans="1:7" ht="18" x14ac:dyDescent="0.25">
      <c r="A58" s="32"/>
      <c r="B58" s="127" t="s">
        <v>169</v>
      </c>
      <c r="C58" s="32"/>
      <c r="D58" s="32"/>
      <c r="E58" s="32"/>
      <c r="F58" s="62">
        <f>F29+F55</f>
        <v>49265442</v>
      </c>
      <c r="G58" s="32"/>
    </row>
    <row r="59" spans="1:7" x14ac:dyDescent="0.25">
      <c r="A59" s="32"/>
      <c r="B59" s="32"/>
      <c r="C59" s="32"/>
      <c r="D59" s="32"/>
      <c r="E59" s="32"/>
      <c r="F59" s="32"/>
      <c r="G59" s="32"/>
    </row>
    <row r="60" spans="1:7" ht="18" x14ac:dyDescent="0.25">
      <c r="A60" s="32"/>
      <c r="B60" s="127" t="s">
        <v>2</v>
      </c>
      <c r="C60" s="32"/>
      <c r="D60" s="32"/>
      <c r="E60" s="32"/>
      <c r="F60" s="32"/>
      <c r="G60" s="32"/>
    </row>
    <row r="61" spans="1:7" x14ac:dyDescent="0.25">
      <c r="A61" s="32"/>
      <c r="B61" s="32"/>
      <c r="C61" s="32"/>
      <c r="D61" s="32"/>
      <c r="E61" s="32"/>
      <c r="F61" s="32"/>
      <c r="G61" s="32"/>
    </row>
    <row r="62" spans="1:7" x14ac:dyDescent="0.25">
      <c r="A62" s="158" t="s">
        <v>112</v>
      </c>
      <c r="B62" s="158"/>
      <c r="C62" s="158"/>
      <c r="D62" s="158"/>
      <c r="E62" s="158"/>
      <c r="F62" s="158"/>
      <c r="G62" s="32"/>
    </row>
    <row r="63" spans="1:7" x14ac:dyDescent="0.25">
      <c r="A63" s="157" t="s">
        <v>4</v>
      </c>
      <c r="B63" s="157" t="s">
        <v>0</v>
      </c>
      <c r="C63" s="157" t="s">
        <v>5</v>
      </c>
      <c r="D63" s="157" t="s">
        <v>6</v>
      </c>
      <c r="E63" s="157"/>
      <c r="F63" s="157"/>
      <c r="G63" s="32"/>
    </row>
    <row r="64" spans="1:7" x14ac:dyDescent="0.25">
      <c r="A64" s="157"/>
      <c r="B64" s="157"/>
      <c r="C64" s="157"/>
      <c r="D64" s="23" t="s">
        <v>7</v>
      </c>
      <c r="E64" s="23" t="s">
        <v>8</v>
      </c>
      <c r="F64" s="23" t="s">
        <v>9</v>
      </c>
      <c r="G64" s="32"/>
    </row>
    <row r="65" spans="1:11" x14ac:dyDescent="0.25">
      <c r="A65" s="118">
        <f t="shared" ref="A65:A94" si="2">A64+1</f>
        <v>1</v>
      </c>
      <c r="B65" s="13" t="s">
        <v>10</v>
      </c>
      <c r="C65" s="157"/>
      <c r="D65" s="157"/>
      <c r="E65" s="157"/>
      <c r="F65" s="15"/>
      <c r="G65" s="32"/>
    </row>
    <row r="66" spans="1:11" ht="29.25" x14ac:dyDescent="0.25">
      <c r="A66" s="118">
        <f t="shared" si="2"/>
        <v>2</v>
      </c>
      <c r="B66" s="12" t="s">
        <v>11</v>
      </c>
      <c r="C66" s="118" t="s">
        <v>12</v>
      </c>
      <c r="D66" s="19">
        <v>96</v>
      </c>
      <c r="E66" s="28">
        <v>5214</v>
      </c>
      <c r="F66" s="122">
        <f t="shared" ref="F66:F94" si="3">ROUND(D66*E66,0)</f>
        <v>500544</v>
      </c>
      <c r="G66" s="32"/>
    </row>
    <row r="67" spans="1:11" x14ac:dyDescent="0.25">
      <c r="A67" s="118">
        <f t="shared" si="2"/>
        <v>3</v>
      </c>
      <c r="B67" s="24" t="s">
        <v>13</v>
      </c>
      <c r="C67" s="118" t="s">
        <v>14</v>
      </c>
      <c r="D67" s="19">
        <v>576</v>
      </c>
      <c r="E67" s="28">
        <v>9047</v>
      </c>
      <c r="F67" s="122">
        <f t="shared" si="3"/>
        <v>5211072</v>
      </c>
      <c r="G67" s="32"/>
    </row>
    <row r="68" spans="1:11" ht="43.5" x14ac:dyDescent="0.25">
      <c r="A68" s="118">
        <f t="shared" si="2"/>
        <v>4</v>
      </c>
      <c r="B68" s="12" t="s">
        <v>15</v>
      </c>
      <c r="C68" s="118" t="s">
        <v>12</v>
      </c>
      <c r="D68" s="19">
        <v>204</v>
      </c>
      <c r="E68" s="28">
        <v>13608</v>
      </c>
      <c r="F68" s="122">
        <f t="shared" si="3"/>
        <v>2776032</v>
      </c>
      <c r="G68" s="32"/>
    </row>
    <row r="69" spans="1:11" x14ac:dyDescent="0.25">
      <c r="A69" s="118">
        <f t="shared" si="2"/>
        <v>5</v>
      </c>
      <c r="B69" s="24" t="s">
        <v>16</v>
      </c>
      <c r="C69" s="118" t="s">
        <v>17</v>
      </c>
      <c r="D69" s="19">
        <v>2</v>
      </c>
      <c r="E69" s="28">
        <v>155349</v>
      </c>
      <c r="F69" s="122">
        <f t="shared" si="3"/>
        <v>310698</v>
      </c>
      <c r="G69" s="32"/>
      <c r="K69" s="22"/>
    </row>
    <row r="70" spans="1:11" x14ac:dyDescent="0.25">
      <c r="A70" s="118">
        <f t="shared" si="2"/>
        <v>6</v>
      </c>
      <c r="B70" s="13" t="s">
        <v>19</v>
      </c>
      <c r="C70" s="15"/>
      <c r="D70" s="15"/>
      <c r="E70" s="28">
        <v>0</v>
      </c>
      <c r="F70" s="122">
        <f t="shared" si="3"/>
        <v>0</v>
      </c>
      <c r="G70" s="32"/>
    </row>
    <row r="71" spans="1:11" x14ac:dyDescent="0.25">
      <c r="A71" s="118">
        <f t="shared" si="2"/>
        <v>7</v>
      </c>
      <c r="B71" s="25" t="s">
        <v>20</v>
      </c>
      <c r="C71" s="118" t="s">
        <v>12</v>
      </c>
      <c r="D71" s="19">
        <v>296</v>
      </c>
      <c r="E71" s="28">
        <v>7630</v>
      </c>
      <c r="F71" s="122">
        <f t="shared" si="3"/>
        <v>2258480</v>
      </c>
      <c r="G71" s="32"/>
    </row>
    <row r="72" spans="1:11" ht="43.5" x14ac:dyDescent="0.25">
      <c r="A72" s="118">
        <f t="shared" si="2"/>
        <v>8</v>
      </c>
      <c r="B72" s="12" t="s">
        <v>21</v>
      </c>
      <c r="C72" s="118" t="s">
        <v>53</v>
      </c>
      <c r="D72" s="19">
        <v>22</v>
      </c>
      <c r="E72" s="28">
        <v>83312</v>
      </c>
      <c r="F72" s="122">
        <f t="shared" si="3"/>
        <v>1832864</v>
      </c>
      <c r="G72" s="32"/>
    </row>
    <row r="73" spans="1:11" x14ac:dyDescent="0.25">
      <c r="A73" s="118">
        <f t="shared" si="2"/>
        <v>9</v>
      </c>
      <c r="B73" s="13" t="s">
        <v>22</v>
      </c>
      <c r="C73" s="15"/>
      <c r="D73" s="15"/>
      <c r="E73" s="28">
        <v>0</v>
      </c>
      <c r="F73" s="122">
        <f t="shared" si="3"/>
        <v>0</v>
      </c>
      <c r="G73" s="32"/>
    </row>
    <row r="74" spans="1:11" x14ac:dyDescent="0.25">
      <c r="A74" s="118">
        <f t="shared" si="2"/>
        <v>10</v>
      </c>
      <c r="B74" s="24" t="s">
        <v>23</v>
      </c>
      <c r="C74" s="118" t="s">
        <v>53</v>
      </c>
      <c r="D74" s="19">
        <v>206</v>
      </c>
      <c r="E74" s="28">
        <v>26317</v>
      </c>
      <c r="F74" s="122">
        <f t="shared" si="3"/>
        <v>5421302</v>
      </c>
      <c r="G74" s="32"/>
    </row>
    <row r="75" spans="1:11" x14ac:dyDescent="0.25">
      <c r="A75" s="118">
        <f t="shared" si="2"/>
        <v>11</v>
      </c>
      <c r="B75" s="24" t="s">
        <v>24</v>
      </c>
      <c r="C75" s="118" t="s">
        <v>12</v>
      </c>
      <c r="D75" s="19">
        <v>10</v>
      </c>
      <c r="E75" s="28">
        <v>31128</v>
      </c>
      <c r="F75" s="122">
        <f t="shared" si="3"/>
        <v>311280</v>
      </c>
      <c r="G75" s="32"/>
    </row>
    <row r="76" spans="1:11" ht="29.25" x14ac:dyDescent="0.25">
      <c r="A76" s="118">
        <f t="shared" si="2"/>
        <v>12</v>
      </c>
      <c r="B76" s="12" t="s">
        <v>25</v>
      </c>
      <c r="C76" s="118" t="s">
        <v>53</v>
      </c>
      <c r="D76" s="19">
        <v>76</v>
      </c>
      <c r="E76" s="28">
        <v>32749</v>
      </c>
      <c r="F76" s="122">
        <f t="shared" si="3"/>
        <v>2488924</v>
      </c>
      <c r="G76" s="32"/>
    </row>
    <row r="77" spans="1:11" x14ac:dyDescent="0.25">
      <c r="A77" s="118">
        <f t="shared" si="2"/>
        <v>13</v>
      </c>
      <c r="B77" s="13" t="s">
        <v>26</v>
      </c>
      <c r="C77" s="15"/>
      <c r="D77" s="15"/>
      <c r="E77" s="28">
        <v>0</v>
      </c>
      <c r="F77" s="122">
        <f t="shared" si="3"/>
        <v>0</v>
      </c>
      <c r="G77" s="32"/>
    </row>
    <row r="78" spans="1:11" ht="29.25" x14ac:dyDescent="0.25">
      <c r="A78" s="118">
        <f t="shared" si="2"/>
        <v>14</v>
      </c>
      <c r="B78" s="12" t="s">
        <v>54</v>
      </c>
      <c r="C78" s="118" t="s">
        <v>12</v>
      </c>
      <c r="D78" s="19">
        <v>96</v>
      </c>
      <c r="E78" s="28">
        <v>23781</v>
      </c>
      <c r="F78" s="122">
        <f t="shared" si="3"/>
        <v>2282976</v>
      </c>
      <c r="G78" s="32"/>
    </row>
    <row r="79" spans="1:11" ht="57" x14ac:dyDescent="0.25">
      <c r="A79" s="118">
        <f t="shared" si="2"/>
        <v>15</v>
      </c>
      <c r="B79" s="26" t="s">
        <v>27</v>
      </c>
      <c r="C79" s="118" t="s">
        <v>12</v>
      </c>
      <c r="D79" s="19">
        <v>1</v>
      </c>
      <c r="E79" s="28">
        <v>637411</v>
      </c>
      <c r="F79" s="122">
        <f t="shared" si="3"/>
        <v>637411</v>
      </c>
      <c r="G79" s="32"/>
    </row>
    <row r="80" spans="1:11" ht="43.5" x14ac:dyDescent="0.25">
      <c r="A80" s="118">
        <f t="shared" si="2"/>
        <v>16</v>
      </c>
      <c r="B80" s="12" t="s">
        <v>59</v>
      </c>
      <c r="C80" s="118" t="s">
        <v>28</v>
      </c>
      <c r="D80" s="19">
        <v>3</v>
      </c>
      <c r="E80" s="28">
        <v>777600</v>
      </c>
      <c r="F80" s="122">
        <f t="shared" si="3"/>
        <v>2332800</v>
      </c>
      <c r="G80" s="32"/>
    </row>
    <row r="81" spans="1:13" x14ac:dyDescent="0.25">
      <c r="A81" s="118">
        <f t="shared" si="2"/>
        <v>17</v>
      </c>
      <c r="B81" s="24" t="s">
        <v>29</v>
      </c>
      <c r="C81" s="118" t="s">
        <v>28</v>
      </c>
      <c r="D81" s="19">
        <v>3</v>
      </c>
      <c r="E81" s="28">
        <v>540447</v>
      </c>
      <c r="F81" s="122">
        <f t="shared" si="3"/>
        <v>1621341</v>
      </c>
      <c r="G81" s="32"/>
    </row>
    <row r="82" spans="1:13" ht="43.5" x14ac:dyDescent="0.25">
      <c r="A82" s="118">
        <f t="shared" si="2"/>
        <v>18</v>
      </c>
      <c r="B82" s="12" t="s">
        <v>30</v>
      </c>
      <c r="C82" s="118" t="s">
        <v>12</v>
      </c>
      <c r="D82" s="19">
        <v>54</v>
      </c>
      <c r="E82" s="28">
        <v>13802</v>
      </c>
      <c r="F82" s="122">
        <f t="shared" si="3"/>
        <v>745308</v>
      </c>
      <c r="G82" s="32"/>
    </row>
    <row r="83" spans="1:13" ht="43.5" x14ac:dyDescent="0.25">
      <c r="A83" s="118">
        <f t="shared" si="2"/>
        <v>19</v>
      </c>
      <c r="B83" s="12" t="s">
        <v>31</v>
      </c>
      <c r="C83" s="118" t="s">
        <v>17</v>
      </c>
      <c r="D83" s="19">
        <v>13</v>
      </c>
      <c r="E83" s="28">
        <v>399818</v>
      </c>
      <c r="F83" s="122">
        <f t="shared" si="3"/>
        <v>5197634</v>
      </c>
      <c r="G83" s="32"/>
    </row>
    <row r="84" spans="1:13" x14ac:dyDescent="0.25">
      <c r="A84" s="118">
        <f t="shared" si="2"/>
        <v>20</v>
      </c>
      <c r="B84" s="24" t="s">
        <v>55</v>
      </c>
      <c r="C84" s="118" t="s">
        <v>17</v>
      </c>
      <c r="D84" s="19">
        <v>13</v>
      </c>
      <c r="E84" s="28">
        <v>43482</v>
      </c>
      <c r="F84" s="122">
        <f t="shared" si="3"/>
        <v>565266</v>
      </c>
      <c r="G84" s="32"/>
    </row>
    <row r="85" spans="1:13" x14ac:dyDescent="0.25">
      <c r="A85" s="118">
        <f t="shared" si="2"/>
        <v>21</v>
      </c>
      <c r="B85" s="24" t="s">
        <v>32</v>
      </c>
      <c r="C85" s="118" t="s">
        <v>17</v>
      </c>
      <c r="D85" s="19">
        <v>4</v>
      </c>
      <c r="E85" s="28">
        <v>90312</v>
      </c>
      <c r="F85" s="122">
        <f t="shared" si="3"/>
        <v>361248</v>
      </c>
      <c r="G85" s="32"/>
    </row>
    <row r="86" spans="1:13" x14ac:dyDescent="0.25">
      <c r="A86" s="118">
        <f t="shared" si="2"/>
        <v>22</v>
      </c>
      <c r="B86" s="13" t="s">
        <v>33</v>
      </c>
      <c r="C86" s="15"/>
      <c r="D86" s="15"/>
      <c r="E86" s="28">
        <v>0</v>
      </c>
      <c r="F86" s="122">
        <f t="shared" si="3"/>
        <v>0</v>
      </c>
      <c r="G86" s="32"/>
    </row>
    <row r="87" spans="1:13" x14ac:dyDescent="0.25">
      <c r="A87" s="118">
        <f t="shared" si="2"/>
        <v>23</v>
      </c>
      <c r="B87" s="24" t="s">
        <v>34</v>
      </c>
      <c r="C87" s="118" t="s">
        <v>53</v>
      </c>
      <c r="D87" s="19">
        <v>14</v>
      </c>
      <c r="E87" s="28">
        <v>120657</v>
      </c>
      <c r="F87" s="122">
        <f t="shared" si="3"/>
        <v>1689198</v>
      </c>
      <c r="G87" s="32"/>
    </row>
    <row r="88" spans="1:13" ht="29.25" x14ac:dyDescent="0.25">
      <c r="A88" s="118">
        <f t="shared" si="2"/>
        <v>24</v>
      </c>
      <c r="B88" s="12" t="s">
        <v>35</v>
      </c>
      <c r="C88" s="118" t="s">
        <v>53</v>
      </c>
      <c r="D88" s="19">
        <v>154</v>
      </c>
      <c r="E88" s="28">
        <v>22131</v>
      </c>
      <c r="F88" s="122">
        <f t="shared" si="3"/>
        <v>3408174</v>
      </c>
      <c r="G88" s="32"/>
    </row>
    <row r="89" spans="1:13" x14ac:dyDescent="0.25">
      <c r="A89" s="118">
        <f t="shared" si="2"/>
        <v>25</v>
      </c>
      <c r="B89" s="24" t="s">
        <v>36</v>
      </c>
      <c r="C89" s="118" t="s">
        <v>53</v>
      </c>
      <c r="D89" s="19">
        <v>30</v>
      </c>
      <c r="E89" s="28">
        <v>144847</v>
      </c>
      <c r="F89" s="122">
        <f t="shared" si="3"/>
        <v>4345410</v>
      </c>
      <c r="G89" s="32"/>
    </row>
    <row r="90" spans="1:13" x14ac:dyDescent="0.25">
      <c r="A90" s="118">
        <f t="shared" si="2"/>
        <v>26</v>
      </c>
      <c r="B90" s="13" t="s">
        <v>38</v>
      </c>
      <c r="C90" s="15"/>
      <c r="D90" s="15"/>
      <c r="E90" s="28">
        <v>0</v>
      </c>
      <c r="F90" s="122">
        <f t="shared" si="3"/>
        <v>0</v>
      </c>
      <c r="G90" s="32"/>
    </row>
    <row r="91" spans="1:13" ht="29.25" x14ac:dyDescent="0.25">
      <c r="A91" s="118">
        <f t="shared" si="2"/>
        <v>27</v>
      </c>
      <c r="B91" s="12" t="s">
        <v>39</v>
      </c>
      <c r="C91" s="118" t="s">
        <v>53</v>
      </c>
      <c r="D91" s="19">
        <v>1</v>
      </c>
      <c r="E91" s="28">
        <v>605480</v>
      </c>
      <c r="F91" s="122">
        <f t="shared" si="3"/>
        <v>605480</v>
      </c>
      <c r="G91" s="32"/>
    </row>
    <row r="92" spans="1:13" ht="29.25" x14ac:dyDescent="0.25">
      <c r="A92" s="118">
        <f t="shared" si="2"/>
        <v>28</v>
      </c>
      <c r="B92" s="12" t="s">
        <v>40</v>
      </c>
      <c r="C92" s="118" t="s">
        <v>53</v>
      </c>
      <c r="D92" s="19">
        <v>22</v>
      </c>
      <c r="E92" s="28">
        <v>822268</v>
      </c>
      <c r="F92" s="122">
        <f t="shared" si="3"/>
        <v>18089896</v>
      </c>
      <c r="G92" s="32"/>
    </row>
    <row r="93" spans="1:13" x14ac:dyDescent="0.25">
      <c r="A93" s="118">
        <f t="shared" si="2"/>
        <v>29</v>
      </c>
      <c r="B93" s="13" t="s">
        <v>41</v>
      </c>
      <c r="C93" s="15"/>
      <c r="D93" s="15"/>
      <c r="E93" s="28">
        <v>0</v>
      </c>
      <c r="F93" s="122">
        <f t="shared" si="3"/>
        <v>0</v>
      </c>
      <c r="G93" s="32"/>
      <c r="K93" s="22"/>
      <c r="M93" s="20"/>
    </row>
    <row r="94" spans="1:13" x14ac:dyDescent="0.25">
      <c r="A94" s="118">
        <f t="shared" si="2"/>
        <v>30</v>
      </c>
      <c r="B94" s="24" t="s">
        <v>42</v>
      </c>
      <c r="C94" s="118" t="s">
        <v>43</v>
      </c>
      <c r="D94" s="19">
        <v>60</v>
      </c>
      <c r="E94" s="28">
        <v>5922</v>
      </c>
      <c r="F94" s="122">
        <f t="shared" si="3"/>
        <v>355320</v>
      </c>
      <c r="G94" s="32"/>
    </row>
    <row r="95" spans="1:13" x14ac:dyDescent="0.25">
      <c r="A95" s="116"/>
      <c r="B95" s="13" t="s">
        <v>46</v>
      </c>
      <c r="C95" s="23"/>
      <c r="D95" s="57"/>
      <c r="E95" s="16"/>
      <c r="F95" s="16">
        <f>ROUND(F94+F93+F92+F91+F90+F89+F88+F87+F86+F85+F84+F83+F82+F81+F79+F78+F80+F77++++F76+F75+F74+F73+F72+F71+F70+F69+F68+F67++F66,0)</f>
        <v>63348658</v>
      </c>
      <c r="G95" s="32"/>
    </row>
    <row r="96" spans="1:13" x14ac:dyDescent="0.25">
      <c r="A96" s="14"/>
      <c r="B96" s="14" t="s">
        <v>49</v>
      </c>
      <c r="C96" s="14"/>
      <c r="D96" s="14"/>
      <c r="E96" s="14"/>
      <c r="F96" s="17">
        <f>ROUND(F95/1.3495,0)</f>
        <v>46942318</v>
      </c>
      <c r="G96" s="32"/>
    </row>
    <row r="97" spans="1:11" x14ac:dyDescent="0.25">
      <c r="A97" s="14"/>
      <c r="B97" s="14" t="s">
        <v>50</v>
      </c>
      <c r="C97" s="58">
        <v>0.24</v>
      </c>
      <c r="D97" s="14"/>
      <c r="E97" s="14"/>
      <c r="F97" s="17">
        <f>ROUND(F96*C97,0)</f>
        <v>11266156</v>
      </c>
      <c r="G97" s="32"/>
    </row>
    <row r="98" spans="1:11" x14ac:dyDescent="0.25">
      <c r="A98" s="14"/>
      <c r="B98" s="14" t="s">
        <v>47</v>
      </c>
      <c r="C98" s="58">
        <v>0.05</v>
      </c>
      <c r="D98" s="14"/>
      <c r="E98" s="14"/>
      <c r="F98" s="17">
        <f>ROUND(F96*C98,0)</f>
        <v>2347116</v>
      </c>
      <c r="G98" s="32"/>
    </row>
    <row r="99" spans="1:11" x14ac:dyDescent="0.25">
      <c r="A99" s="14"/>
      <c r="B99" s="14" t="s">
        <v>51</v>
      </c>
      <c r="C99" s="58">
        <v>0.05</v>
      </c>
      <c r="D99" s="14"/>
      <c r="E99" s="14"/>
      <c r="F99" s="17">
        <f>ROUND(F96*C99,0)</f>
        <v>2347116</v>
      </c>
      <c r="G99" s="32"/>
    </row>
    <row r="100" spans="1:11" x14ac:dyDescent="0.25">
      <c r="A100" s="14"/>
      <c r="B100" s="59" t="s">
        <v>52</v>
      </c>
      <c r="C100" s="60">
        <v>0.19</v>
      </c>
      <c r="D100" s="51"/>
      <c r="E100" s="51"/>
      <c r="F100" s="21">
        <f>ROUND(F99*19%,0)</f>
        <v>445952</v>
      </c>
      <c r="G100" s="32"/>
    </row>
    <row r="101" spans="1:11" x14ac:dyDescent="0.25">
      <c r="A101" s="14"/>
      <c r="B101" s="13" t="s">
        <v>46</v>
      </c>
      <c r="C101" s="14"/>
      <c r="D101" s="14"/>
      <c r="E101" s="14"/>
      <c r="F101" s="18">
        <f>SUM(F96:F100)</f>
        <v>63348658</v>
      </c>
      <c r="G101" s="32"/>
    </row>
    <row r="102" spans="1:11" x14ac:dyDescent="0.25">
      <c r="A102" s="32"/>
      <c r="B102" s="32"/>
      <c r="C102" s="32"/>
      <c r="D102" s="32"/>
      <c r="E102" s="32"/>
      <c r="F102" s="32"/>
      <c r="G102" s="32"/>
    </row>
    <row r="103" spans="1:11" x14ac:dyDescent="0.25">
      <c r="A103" s="158" t="s">
        <v>113</v>
      </c>
      <c r="B103" s="158"/>
      <c r="C103" s="158"/>
      <c r="D103" s="158"/>
      <c r="E103" s="158"/>
      <c r="F103" s="158"/>
      <c r="G103" s="32"/>
    </row>
    <row r="104" spans="1:11" x14ac:dyDescent="0.25">
      <c r="A104" s="157" t="s">
        <v>4</v>
      </c>
      <c r="B104" s="157" t="s">
        <v>0</v>
      </c>
      <c r="C104" s="157" t="s">
        <v>5</v>
      </c>
      <c r="D104" s="157" t="s">
        <v>6</v>
      </c>
      <c r="E104" s="157"/>
      <c r="F104" s="157"/>
      <c r="G104" s="32"/>
    </row>
    <row r="105" spans="1:11" x14ac:dyDescent="0.25">
      <c r="A105" s="157"/>
      <c r="B105" s="157"/>
      <c r="C105" s="157"/>
      <c r="D105" s="23" t="s">
        <v>7</v>
      </c>
      <c r="E105" s="23" t="s">
        <v>8</v>
      </c>
      <c r="F105" s="23" t="s">
        <v>9</v>
      </c>
      <c r="G105" s="32"/>
    </row>
    <row r="106" spans="1:11" x14ac:dyDescent="0.25">
      <c r="A106" s="118">
        <f t="shared" ref="A106:A129" si="4">A105+1</f>
        <v>1</v>
      </c>
      <c r="B106" s="13" t="s">
        <v>10</v>
      </c>
      <c r="C106" s="157"/>
      <c r="D106" s="157"/>
      <c r="E106" s="157"/>
      <c r="F106" s="15"/>
      <c r="G106" s="32"/>
    </row>
    <row r="107" spans="1:11" ht="29.25" x14ac:dyDescent="0.25">
      <c r="A107" s="118">
        <f t="shared" si="4"/>
        <v>2</v>
      </c>
      <c r="B107" s="12" t="s">
        <v>60</v>
      </c>
      <c r="C107" s="123" t="s">
        <v>12</v>
      </c>
      <c r="D107" s="29">
        <v>102</v>
      </c>
      <c r="E107" s="120">
        <v>5230</v>
      </c>
      <c r="F107" s="122">
        <f t="shared" ref="F107:F129" si="5">ROUND(D107*E107,0)</f>
        <v>533460</v>
      </c>
      <c r="G107" s="32"/>
    </row>
    <row r="108" spans="1:11" x14ac:dyDescent="0.25">
      <c r="A108" s="118">
        <f>A107+1</f>
        <v>3</v>
      </c>
      <c r="B108" s="24" t="s">
        <v>16</v>
      </c>
      <c r="C108" s="123" t="s">
        <v>17</v>
      </c>
      <c r="D108" s="29">
        <v>2</v>
      </c>
      <c r="E108" s="120">
        <v>155814</v>
      </c>
      <c r="F108" s="122">
        <f t="shared" si="5"/>
        <v>311628</v>
      </c>
      <c r="G108" s="32"/>
      <c r="K108" s="22"/>
    </row>
    <row r="109" spans="1:11" x14ac:dyDescent="0.25">
      <c r="A109" s="118">
        <f t="shared" si="4"/>
        <v>4</v>
      </c>
      <c r="B109" s="13" t="s">
        <v>19</v>
      </c>
      <c r="C109" s="15"/>
      <c r="D109" s="15"/>
      <c r="E109" s="120">
        <v>0</v>
      </c>
      <c r="F109" s="122">
        <f t="shared" si="5"/>
        <v>0</v>
      </c>
      <c r="G109" s="32"/>
    </row>
    <row r="110" spans="1:11" x14ac:dyDescent="0.25">
      <c r="A110" s="118">
        <f t="shared" si="4"/>
        <v>5</v>
      </c>
      <c r="B110" s="25" t="s">
        <v>20</v>
      </c>
      <c r="C110" s="123" t="s">
        <v>12</v>
      </c>
      <c r="D110" s="29">
        <v>404</v>
      </c>
      <c r="E110" s="120">
        <v>7652</v>
      </c>
      <c r="F110" s="122">
        <f t="shared" si="5"/>
        <v>3091408</v>
      </c>
      <c r="G110" s="32"/>
    </row>
    <row r="111" spans="1:11" ht="43.5" x14ac:dyDescent="0.25">
      <c r="A111" s="118">
        <f t="shared" si="4"/>
        <v>6</v>
      </c>
      <c r="B111" s="12" t="s">
        <v>61</v>
      </c>
      <c r="C111" s="123" t="s">
        <v>53</v>
      </c>
      <c r="D111" s="29">
        <v>14</v>
      </c>
      <c r="E111" s="120">
        <v>83560</v>
      </c>
      <c r="F111" s="122">
        <f t="shared" si="5"/>
        <v>1169840</v>
      </c>
      <c r="G111" s="32"/>
    </row>
    <row r="112" spans="1:11" x14ac:dyDescent="0.25">
      <c r="A112" s="118">
        <f t="shared" si="4"/>
        <v>7</v>
      </c>
      <c r="B112" s="13" t="s">
        <v>22</v>
      </c>
      <c r="C112" s="15"/>
      <c r="D112" s="15"/>
      <c r="E112" s="120">
        <v>0</v>
      </c>
      <c r="F112" s="122">
        <f t="shared" si="5"/>
        <v>0</v>
      </c>
      <c r="G112" s="32"/>
    </row>
    <row r="113" spans="1:7" x14ac:dyDescent="0.25">
      <c r="A113" s="118">
        <f t="shared" si="4"/>
        <v>8</v>
      </c>
      <c r="B113" s="24" t="s">
        <v>62</v>
      </c>
      <c r="C113" s="123" t="s">
        <v>53</v>
      </c>
      <c r="D113" s="29">
        <v>66</v>
      </c>
      <c r="E113" s="120">
        <v>26395</v>
      </c>
      <c r="F113" s="122">
        <f t="shared" si="5"/>
        <v>1742070</v>
      </c>
      <c r="G113" s="32"/>
    </row>
    <row r="114" spans="1:7" ht="29.25" x14ac:dyDescent="0.25">
      <c r="A114" s="118">
        <f t="shared" si="4"/>
        <v>9</v>
      </c>
      <c r="B114" s="12" t="s">
        <v>25</v>
      </c>
      <c r="C114" s="123" t="s">
        <v>53</v>
      </c>
      <c r="D114" s="29">
        <v>46</v>
      </c>
      <c r="E114" s="120">
        <v>32848</v>
      </c>
      <c r="F114" s="122">
        <f t="shared" si="5"/>
        <v>1511008</v>
      </c>
      <c r="G114" s="32"/>
    </row>
    <row r="115" spans="1:7" x14ac:dyDescent="0.25">
      <c r="A115" s="118">
        <f t="shared" si="4"/>
        <v>10</v>
      </c>
      <c r="B115" s="13" t="s">
        <v>63</v>
      </c>
      <c r="C115" s="15"/>
      <c r="D115" s="15"/>
      <c r="E115" s="120">
        <v>0</v>
      </c>
      <c r="F115" s="122">
        <f t="shared" si="5"/>
        <v>0</v>
      </c>
      <c r="G115" s="32"/>
    </row>
    <row r="116" spans="1:7" x14ac:dyDescent="0.25">
      <c r="A116" s="118">
        <f t="shared" si="4"/>
        <v>11</v>
      </c>
      <c r="B116" s="24" t="s">
        <v>97</v>
      </c>
      <c r="C116" s="123" t="s">
        <v>12</v>
      </c>
      <c r="D116" s="29">
        <v>102</v>
      </c>
      <c r="E116" s="120">
        <v>5945</v>
      </c>
      <c r="F116" s="122">
        <f t="shared" si="5"/>
        <v>606390</v>
      </c>
      <c r="G116" s="32"/>
    </row>
    <row r="117" spans="1:7" ht="43.5" x14ac:dyDescent="0.25">
      <c r="A117" s="118">
        <f t="shared" si="4"/>
        <v>12</v>
      </c>
      <c r="B117" s="12" t="s">
        <v>64</v>
      </c>
      <c r="C117" s="123" t="s">
        <v>28</v>
      </c>
      <c r="D117" s="29">
        <v>25</v>
      </c>
      <c r="E117" s="120">
        <v>42039</v>
      </c>
      <c r="F117" s="122">
        <f t="shared" si="5"/>
        <v>1050975</v>
      </c>
      <c r="G117" s="32"/>
    </row>
    <row r="118" spans="1:7" x14ac:dyDescent="0.25">
      <c r="A118" s="118">
        <f t="shared" si="4"/>
        <v>13</v>
      </c>
      <c r="B118" s="26" t="s">
        <v>65</v>
      </c>
      <c r="C118" s="123" t="s">
        <v>28</v>
      </c>
      <c r="D118" s="29">
        <v>1</v>
      </c>
      <c r="E118" s="120">
        <v>210191</v>
      </c>
      <c r="F118" s="122">
        <f t="shared" si="5"/>
        <v>210191</v>
      </c>
      <c r="G118" s="32"/>
    </row>
    <row r="119" spans="1:7" ht="43.5" x14ac:dyDescent="0.25">
      <c r="A119" s="118">
        <f t="shared" si="4"/>
        <v>14</v>
      </c>
      <c r="B119" s="12" t="s">
        <v>96</v>
      </c>
      <c r="C119" s="123" t="s">
        <v>28</v>
      </c>
      <c r="D119" s="29">
        <v>1</v>
      </c>
      <c r="E119" s="120">
        <v>345600</v>
      </c>
      <c r="F119" s="122">
        <f t="shared" si="5"/>
        <v>345600</v>
      </c>
      <c r="G119" s="32"/>
    </row>
    <row r="120" spans="1:7" x14ac:dyDescent="0.25">
      <c r="A120" s="118">
        <f t="shared" si="4"/>
        <v>15</v>
      </c>
      <c r="B120" s="24" t="s">
        <v>66</v>
      </c>
      <c r="C120" s="123" t="s">
        <v>17</v>
      </c>
      <c r="D120" s="29">
        <v>2</v>
      </c>
      <c r="E120" s="120">
        <v>90583</v>
      </c>
      <c r="F120" s="122">
        <f t="shared" si="5"/>
        <v>181166</v>
      </c>
      <c r="G120" s="32"/>
    </row>
    <row r="121" spans="1:7" x14ac:dyDescent="0.25">
      <c r="A121" s="118">
        <f t="shared" si="4"/>
        <v>16</v>
      </c>
      <c r="B121" s="13" t="s">
        <v>33</v>
      </c>
      <c r="C121" s="15"/>
      <c r="D121" s="15"/>
      <c r="E121" s="120">
        <v>0</v>
      </c>
      <c r="F121" s="122">
        <f t="shared" si="5"/>
        <v>0</v>
      </c>
      <c r="G121" s="32"/>
    </row>
    <row r="122" spans="1:7" x14ac:dyDescent="0.25">
      <c r="A122" s="118">
        <f t="shared" si="4"/>
        <v>17</v>
      </c>
      <c r="B122" s="24" t="s">
        <v>34</v>
      </c>
      <c r="C122" s="123" t="s">
        <v>53</v>
      </c>
      <c r="D122" s="29">
        <v>9</v>
      </c>
      <c r="E122" s="120">
        <v>121019</v>
      </c>
      <c r="F122" s="122">
        <f t="shared" si="5"/>
        <v>1089171</v>
      </c>
      <c r="G122" s="32"/>
    </row>
    <row r="123" spans="1:7" x14ac:dyDescent="0.25">
      <c r="A123" s="118">
        <f t="shared" si="4"/>
        <v>18</v>
      </c>
      <c r="B123" s="24" t="s">
        <v>35</v>
      </c>
      <c r="C123" s="123" t="s">
        <v>53</v>
      </c>
      <c r="D123" s="29">
        <v>36</v>
      </c>
      <c r="E123" s="120">
        <v>22197</v>
      </c>
      <c r="F123" s="122">
        <f t="shared" si="5"/>
        <v>799092</v>
      </c>
      <c r="G123" s="32"/>
    </row>
    <row r="124" spans="1:7" x14ac:dyDescent="0.25">
      <c r="A124" s="118">
        <f t="shared" si="4"/>
        <v>19</v>
      </c>
      <c r="B124" s="24" t="s">
        <v>100</v>
      </c>
      <c r="C124" s="123" t="s">
        <v>53</v>
      </c>
      <c r="D124" s="29">
        <v>20</v>
      </c>
      <c r="E124" s="120">
        <v>145281</v>
      </c>
      <c r="F124" s="122">
        <f t="shared" si="5"/>
        <v>2905620</v>
      </c>
      <c r="G124" s="32"/>
    </row>
    <row r="125" spans="1:7" x14ac:dyDescent="0.25">
      <c r="A125" s="118">
        <f t="shared" si="4"/>
        <v>20</v>
      </c>
      <c r="B125" s="13" t="s">
        <v>38</v>
      </c>
      <c r="C125" s="15"/>
      <c r="D125" s="15"/>
      <c r="E125" s="120">
        <v>0</v>
      </c>
      <c r="F125" s="122">
        <f t="shared" si="5"/>
        <v>0</v>
      </c>
      <c r="G125" s="32"/>
    </row>
    <row r="126" spans="1:7" ht="29.25" x14ac:dyDescent="0.25">
      <c r="A126" s="118">
        <f t="shared" si="4"/>
        <v>21</v>
      </c>
      <c r="B126" s="12" t="s">
        <v>67</v>
      </c>
      <c r="C126" s="123" t="s">
        <v>53</v>
      </c>
      <c r="D126" s="29">
        <v>0.5</v>
      </c>
      <c r="E126" s="120">
        <v>607296</v>
      </c>
      <c r="F126" s="122">
        <f t="shared" si="5"/>
        <v>303648</v>
      </c>
      <c r="G126" s="32"/>
    </row>
    <row r="127" spans="1:7" ht="29.25" x14ac:dyDescent="0.25">
      <c r="A127" s="118">
        <f t="shared" si="4"/>
        <v>22</v>
      </c>
      <c r="B127" s="12" t="s">
        <v>40</v>
      </c>
      <c r="C127" s="123" t="s">
        <v>53</v>
      </c>
      <c r="D127" s="29">
        <v>15</v>
      </c>
      <c r="E127" s="120">
        <v>824735</v>
      </c>
      <c r="F127" s="122">
        <f t="shared" si="5"/>
        <v>12371025</v>
      </c>
      <c r="G127" s="32"/>
    </row>
    <row r="128" spans="1:7" x14ac:dyDescent="0.25">
      <c r="A128" s="118">
        <f t="shared" si="4"/>
        <v>23</v>
      </c>
      <c r="B128" s="13" t="s">
        <v>41</v>
      </c>
      <c r="C128" s="15"/>
      <c r="D128" s="15"/>
      <c r="E128" s="120">
        <v>0</v>
      </c>
      <c r="F128" s="122">
        <f t="shared" si="5"/>
        <v>0</v>
      </c>
      <c r="G128" s="32"/>
    </row>
    <row r="129" spans="1:13" x14ac:dyDescent="0.25">
      <c r="A129" s="118">
        <f t="shared" si="4"/>
        <v>24</v>
      </c>
      <c r="B129" s="24" t="s">
        <v>68</v>
      </c>
      <c r="C129" s="123" t="s">
        <v>43</v>
      </c>
      <c r="D129" s="29">
        <v>30</v>
      </c>
      <c r="E129" s="120">
        <v>5922</v>
      </c>
      <c r="F129" s="122">
        <f t="shared" si="5"/>
        <v>177660</v>
      </c>
      <c r="G129" s="32"/>
      <c r="K129" s="22"/>
      <c r="M129" s="2"/>
    </row>
    <row r="130" spans="1:13" x14ac:dyDescent="0.25">
      <c r="A130" s="116"/>
      <c r="B130" s="13" t="s">
        <v>46</v>
      </c>
      <c r="C130" s="23"/>
      <c r="D130" s="57"/>
      <c r="E130" s="16"/>
      <c r="F130" s="16">
        <f>ROUND((F129+F128+F127+F126+F125+F124+F123+F122+F121+F120+F119+F118+F107+F108+F109+F110+F111+F112+F114+F113+F115+F116+F117),0)</f>
        <v>28399952</v>
      </c>
      <c r="G130" s="32"/>
    </row>
    <row r="131" spans="1:13" x14ac:dyDescent="0.25">
      <c r="A131" s="14"/>
      <c r="B131" s="14" t="s">
        <v>49</v>
      </c>
      <c r="C131" s="14"/>
      <c r="D131" s="14"/>
      <c r="E131" s="14"/>
      <c r="F131" s="17">
        <f>ROUND(F130/1.3495,0)</f>
        <v>21044796</v>
      </c>
      <c r="G131" s="32"/>
    </row>
    <row r="132" spans="1:13" x14ac:dyDescent="0.25">
      <c r="A132" s="14"/>
      <c r="B132" s="14" t="s">
        <v>50</v>
      </c>
      <c r="C132" s="58">
        <v>0.24</v>
      </c>
      <c r="D132" s="14"/>
      <c r="E132" s="14"/>
      <c r="F132" s="17">
        <f>ROUND(F131*C132,0)</f>
        <v>5050751</v>
      </c>
      <c r="G132" s="32"/>
    </row>
    <row r="133" spans="1:13" x14ac:dyDescent="0.25">
      <c r="A133" s="14"/>
      <c r="B133" s="14" t="s">
        <v>47</v>
      </c>
      <c r="C133" s="58">
        <v>0.05</v>
      </c>
      <c r="D133" s="14"/>
      <c r="E133" s="14"/>
      <c r="F133" s="17">
        <f>ROUND(F131*C133,0)</f>
        <v>1052240</v>
      </c>
      <c r="G133" s="32"/>
    </row>
    <row r="134" spans="1:13" x14ac:dyDescent="0.25">
      <c r="A134" s="14"/>
      <c r="B134" s="14" t="s">
        <v>51</v>
      </c>
      <c r="C134" s="58">
        <v>0.05</v>
      </c>
      <c r="D134" s="14"/>
      <c r="E134" s="14"/>
      <c r="F134" s="17">
        <f>ROUND(F131*C134,0)</f>
        <v>1052240</v>
      </c>
      <c r="G134" s="32"/>
    </row>
    <row r="135" spans="1:13" x14ac:dyDescent="0.25">
      <c r="A135" s="14"/>
      <c r="B135" s="59" t="s">
        <v>52</v>
      </c>
      <c r="C135" s="60">
        <v>0.19</v>
      </c>
      <c r="D135" s="51"/>
      <c r="E135" s="51"/>
      <c r="F135" s="21">
        <f>ROUND(F134*19%,0)</f>
        <v>199926</v>
      </c>
      <c r="G135" s="32"/>
    </row>
    <row r="136" spans="1:13" x14ac:dyDescent="0.25">
      <c r="A136" s="14"/>
      <c r="B136" s="13" t="s">
        <v>46</v>
      </c>
      <c r="C136" s="14"/>
      <c r="D136" s="14"/>
      <c r="E136" s="14"/>
      <c r="F136" s="18">
        <f>SUM(F131:F135)</f>
        <v>28399953</v>
      </c>
      <c r="G136" s="32"/>
    </row>
    <row r="137" spans="1:13" x14ac:dyDescent="0.25">
      <c r="A137" s="32"/>
      <c r="B137" s="32"/>
      <c r="C137" s="32"/>
      <c r="D137" s="32"/>
      <c r="E137" s="32"/>
      <c r="F137" s="32"/>
      <c r="G137" s="32"/>
    </row>
    <row r="138" spans="1:13" x14ac:dyDescent="0.25">
      <c r="A138" s="158" t="s">
        <v>114</v>
      </c>
      <c r="B138" s="158"/>
      <c r="C138" s="158"/>
      <c r="D138" s="158"/>
      <c r="E138" s="158"/>
      <c r="F138" s="158"/>
      <c r="G138" s="32"/>
    </row>
    <row r="139" spans="1:13" x14ac:dyDescent="0.25">
      <c r="A139" s="157" t="s">
        <v>4</v>
      </c>
      <c r="B139" s="157" t="s">
        <v>0</v>
      </c>
      <c r="C139" s="157" t="s">
        <v>5</v>
      </c>
      <c r="D139" s="157" t="s">
        <v>6</v>
      </c>
      <c r="E139" s="157"/>
      <c r="F139" s="157"/>
      <c r="G139" s="32"/>
    </row>
    <row r="140" spans="1:13" x14ac:dyDescent="0.25">
      <c r="A140" s="157"/>
      <c r="B140" s="157"/>
      <c r="C140" s="157"/>
      <c r="D140" s="23" t="s">
        <v>7</v>
      </c>
      <c r="E140" s="23" t="s">
        <v>8</v>
      </c>
      <c r="F140" s="23" t="s">
        <v>9</v>
      </c>
      <c r="G140" s="32"/>
    </row>
    <row r="141" spans="1:13" x14ac:dyDescent="0.25">
      <c r="A141" s="118">
        <f t="shared" ref="A141:A170" si="6">A140+1</f>
        <v>1</v>
      </c>
      <c r="B141" s="13" t="s">
        <v>10</v>
      </c>
      <c r="C141" s="157"/>
      <c r="D141" s="157"/>
      <c r="E141" s="157"/>
      <c r="F141" s="15"/>
      <c r="G141" s="32"/>
    </row>
    <row r="142" spans="1:13" ht="29.25" x14ac:dyDescent="0.25">
      <c r="A142" s="118">
        <f t="shared" si="6"/>
        <v>2</v>
      </c>
      <c r="B142" s="12" t="s">
        <v>11</v>
      </c>
      <c r="C142" s="118" t="s">
        <v>12</v>
      </c>
      <c r="D142" s="19">
        <v>120</v>
      </c>
      <c r="E142" s="28">
        <v>5214</v>
      </c>
      <c r="F142" s="122">
        <f t="shared" ref="F142:F170" si="7">ROUND(D142*E142,0)</f>
        <v>625680</v>
      </c>
      <c r="G142" s="32"/>
    </row>
    <row r="143" spans="1:13" ht="29.25" x14ac:dyDescent="0.25">
      <c r="A143" s="118">
        <f t="shared" si="6"/>
        <v>3</v>
      </c>
      <c r="B143" s="12" t="s">
        <v>13</v>
      </c>
      <c r="C143" s="118" t="s">
        <v>14</v>
      </c>
      <c r="D143" s="19">
        <v>720</v>
      </c>
      <c r="E143" s="28">
        <v>9047</v>
      </c>
      <c r="F143" s="122">
        <f t="shared" si="7"/>
        <v>6513840</v>
      </c>
      <c r="G143" s="32"/>
    </row>
    <row r="144" spans="1:13" ht="43.5" x14ac:dyDescent="0.25">
      <c r="A144" s="118">
        <f t="shared" si="6"/>
        <v>4</v>
      </c>
      <c r="B144" s="12" t="s">
        <v>15</v>
      </c>
      <c r="C144" s="118" t="s">
        <v>12</v>
      </c>
      <c r="D144" s="19">
        <v>252</v>
      </c>
      <c r="E144" s="28">
        <v>13608</v>
      </c>
      <c r="F144" s="122">
        <f t="shared" si="7"/>
        <v>3429216</v>
      </c>
      <c r="G144" s="32"/>
    </row>
    <row r="145" spans="1:11" x14ac:dyDescent="0.25">
      <c r="A145" s="118">
        <f t="shared" si="6"/>
        <v>5</v>
      </c>
      <c r="B145" s="12" t="s">
        <v>16</v>
      </c>
      <c r="C145" s="118" t="s">
        <v>17</v>
      </c>
      <c r="D145" s="19">
        <v>4</v>
      </c>
      <c r="E145" s="28">
        <v>155349</v>
      </c>
      <c r="F145" s="122">
        <f t="shared" si="7"/>
        <v>621396</v>
      </c>
      <c r="G145" s="32"/>
      <c r="K145" s="22"/>
    </row>
    <row r="146" spans="1:11" x14ac:dyDescent="0.25">
      <c r="A146" s="118">
        <f t="shared" si="6"/>
        <v>6</v>
      </c>
      <c r="B146" s="101" t="s">
        <v>19</v>
      </c>
      <c r="C146" s="15"/>
      <c r="D146" s="15"/>
      <c r="E146" s="28">
        <v>0</v>
      </c>
      <c r="F146" s="122">
        <f t="shared" si="7"/>
        <v>0</v>
      </c>
      <c r="G146" s="32"/>
    </row>
    <row r="147" spans="1:11" x14ac:dyDescent="0.25">
      <c r="A147" s="118">
        <f t="shared" si="6"/>
        <v>7</v>
      </c>
      <c r="B147" s="25" t="s">
        <v>20</v>
      </c>
      <c r="C147" s="118" t="s">
        <v>12</v>
      </c>
      <c r="D147" s="19">
        <v>490</v>
      </c>
      <c r="E147" s="28">
        <v>7630</v>
      </c>
      <c r="F147" s="122">
        <f t="shared" si="7"/>
        <v>3738700</v>
      </c>
      <c r="G147" s="32"/>
    </row>
    <row r="148" spans="1:11" ht="43.5" x14ac:dyDescent="0.25">
      <c r="A148" s="118">
        <f t="shared" si="6"/>
        <v>8</v>
      </c>
      <c r="B148" s="12" t="s">
        <v>21</v>
      </c>
      <c r="C148" s="118" t="s">
        <v>53</v>
      </c>
      <c r="D148" s="19">
        <v>35</v>
      </c>
      <c r="E148" s="28">
        <v>83312</v>
      </c>
      <c r="F148" s="122">
        <f t="shared" si="7"/>
        <v>2915920</v>
      </c>
      <c r="G148" s="32"/>
    </row>
    <row r="149" spans="1:11" x14ac:dyDescent="0.25">
      <c r="A149" s="118">
        <f t="shared" si="6"/>
        <v>9</v>
      </c>
      <c r="B149" s="13" t="s">
        <v>22</v>
      </c>
      <c r="C149" s="15"/>
      <c r="D149" s="15"/>
      <c r="E149" s="28">
        <v>0</v>
      </c>
      <c r="F149" s="122">
        <f t="shared" si="7"/>
        <v>0</v>
      </c>
      <c r="G149" s="32"/>
    </row>
    <row r="150" spans="1:11" x14ac:dyDescent="0.25">
      <c r="A150" s="118">
        <f t="shared" si="6"/>
        <v>10</v>
      </c>
      <c r="B150" s="12" t="s">
        <v>23</v>
      </c>
      <c r="C150" s="118" t="s">
        <v>53</v>
      </c>
      <c r="D150" s="19">
        <v>300</v>
      </c>
      <c r="E150" s="28">
        <v>26317</v>
      </c>
      <c r="F150" s="122">
        <f t="shared" si="7"/>
        <v>7895100</v>
      </c>
      <c r="G150" s="32"/>
    </row>
    <row r="151" spans="1:11" x14ac:dyDescent="0.25">
      <c r="A151" s="118">
        <f t="shared" si="6"/>
        <v>11</v>
      </c>
      <c r="B151" s="12" t="s">
        <v>24</v>
      </c>
      <c r="C151" s="118" t="s">
        <v>12</v>
      </c>
      <c r="D151" s="19">
        <v>10</v>
      </c>
      <c r="E151" s="28">
        <v>31128</v>
      </c>
      <c r="F151" s="122">
        <f t="shared" si="7"/>
        <v>311280</v>
      </c>
      <c r="G151" s="32"/>
    </row>
    <row r="152" spans="1:11" ht="29.25" x14ac:dyDescent="0.25">
      <c r="A152" s="118">
        <f t="shared" si="6"/>
        <v>12</v>
      </c>
      <c r="B152" s="12" t="s">
        <v>25</v>
      </c>
      <c r="C152" s="118" t="s">
        <v>53</v>
      </c>
      <c r="D152" s="19">
        <v>118</v>
      </c>
      <c r="E152" s="28">
        <v>32749</v>
      </c>
      <c r="F152" s="122">
        <f t="shared" si="7"/>
        <v>3864382</v>
      </c>
      <c r="G152" s="32"/>
    </row>
    <row r="153" spans="1:11" ht="30" x14ac:dyDescent="0.25">
      <c r="A153" s="118">
        <f t="shared" si="6"/>
        <v>13</v>
      </c>
      <c r="B153" s="101" t="s">
        <v>26</v>
      </c>
      <c r="C153" s="15"/>
      <c r="D153" s="15"/>
      <c r="E153" s="28">
        <v>0</v>
      </c>
      <c r="F153" s="122">
        <f t="shared" si="7"/>
        <v>0</v>
      </c>
      <c r="G153" s="32"/>
    </row>
    <row r="154" spans="1:11" ht="29.25" x14ac:dyDescent="0.25">
      <c r="A154" s="118">
        <f t="shared" si="6"/>
        <v>14</v>
      </c>
      <c r="B154" s="12" t="s">
        <v>54</v>
      </c>
      <c r="C154" s="118" t="s">
        <v>12</v>
      </c>
      <c r="D154" s="19">
        <v>120</v>
      </c>
      <c r="E154" s="28">
        <v>23781</v>
      </c>
      <c r="F154" s="122">
        <f t="shared" si="7"/>
        <v>2853720</v>
      </c>
      <c r="G154" s="32"/>
    </row>
    <row r="155" spans="1:11" ht="57" x14ac:dyDescent="0.25">
      <c r="A155" s="118">
        <f t="shared" si="6"/>
        <v>15</v>
      </c>
      <c r="B155" s="26" t="s">
        <v>27</v>
      </c>
      <c r="C155" s="118" t="s">
        <v>12</v>
      </c>
      <c r="D155" s="19">
        <v>1</v>
      </c>
      <c r="E155" s="28">
        <v>637411</v>
      </c>
      <c r="F155" s="122">
        <f t="shared" si="7"/>
        <v>637411</v>
      </c>
      <c r="G155" s="32"/>
    </row>
    <row r="156" spans="1:11" ht="43.5" x14ac:dyDescent="0.25">
      <c r="A156" s="118">
        <f t="shared" si="6"/>
        <v>16</v>
      </c>
      <c r="B156" s="12" t="s">
        <v>115</v>
      </c>
      <c r="C156" s="118" t="s">
        <v>28</v>
      </c>
      <c r="D156" s="19">
        <v>2</v>
      </c>
      <c r="E156" s="28">
        <v>918000.00000000012</v>
      </c>
      <c r="F156" s="122">
        <f t="shared" si="7"/>
        <v>1836000</v>
      </c>
      <c r="G156" s="32"/>
    </row>
    <row r="157" spans="1:11" x14ac:dyDescent="0.25">
      <c r="A157" s="118">
        <f t="shared" si="6"/>
        <v>17</v>
      </c>
      <c r="B157" s="12" t="s">
        <v>29</v>
      </c>
      <c r="C157" s="118" t="s">
        <v>28</v>
      </c>
      <c r="D157" s="19">
        <v>4</v>
      </c>
      <c r="E157" s="28">
        <v>540447</v>
      </c>
      <c r="F157" s="122">
        <f t="shared" si="7"/>
        <v>2161788</v>
      </c>
      <c r="G157" s="32"/>
    </row>
    <row r="158" spans="1:11" ht="43.5" x14ac:dyDescent="0.25">
      <c r="A158" s="118">
        <f t="shared" si="6"/>
        <v>18</v>
      </c>
      <c r="B158" s="12" t="s">
        <v>30</v>
      </c>
      <c r="C158" s="118" t="s">
        <v>12</v>
      </c>
      <c r="D158" s="19">
        <f>21*6</f>
        <v>126</v>
      </c>
      <c r="E158" s="28">
        <v>13802</v>
      </c>
      <c r="F158" s="122">
        <f t="shared" si="7"/>
        <v>1739052</v>
      </c>
      <c r="G158" s="32"/>
    </row>
    <row r="159" spans="1:11" ht="43.5" x14ac:dyDescent="0.25">
      <c r="A159" s="118">
        <f t="shared" si="6"/>
        <v>19</v>
      </c>
      <c r="B159" s="12" t="s">
        <v>31</v>
      </c>
      <c r="C159" s="118" t="s">
        <v>17</v>
      </c>
      <c r="D159" s="19">
        <v>25</v>
      </c>
      <c r="E159" s="28">
        <v>399818</v>
      </c>
      <c r="F159" s="122">
        <f t="shared" si="7"/>
        <v>9995450</v>
      </c>
      <c r="G159" s="32"/>
    </row>
    <row r="160" spans="1:11" x14ac:dyDescent="0.25">
      <c r="A160" s="118">
        <f t="shared" si="6"/>
        <v>20</v>
      </c>
      <c r="B160" s="12" t="s">
        <v>55</v>
      </c>
      <c r="C160" s="118" t="s">
        <v>17</v>
      </c>
      <c r="D160" s="19">
        <v>25</v>
      </c>
      <c r="E160" s="28">
        <v>43482</v>
      </c>
      <c r="F160" s="122">
        <f t="shared" si="7"/>
        <v>1087050</v>
      </c>
      <c r="G160" s="32"/>
    </row>
    <row r="161" spans="1:13" x14ac:dyDescent="0.25">
      <c r="A161" s="118">
        <f t="shared" si="6"/>
        <v>21</v>
      </c>
      <c r="B161" s="12" t="s">
        <v>32</v>
      </c>
      <c r="C161" s="118" t="s">
        <v>17</v>
      </c>
      <c r="D161" s="19">
        <v>6</v>
      </c>
      <c r="E161" s="28">
        <v>90312</v>
      </c>
      <c r="F161" s="122">
        <f t="shared" si="7"/>
        <v>541872</v>
      </c>
      <c r="G161" s="32"/>
    </row>
    <row r="162" spans="1:13" x14ac:dyDescent="0.25">
      <c r="A162" s="118">
        <f t="shared" si="6"/>
        <v>22</v>
      </c>
      <c r="B162" s="101" t="s">
        <v>33</v>
      </c>
      <c r="C162" s="15"/>
      <c r="D162" s="15"/>
      <c r="E162" s="28">
        <v>0</v>
      </c>
      <c r="F162" s="122">
        <f t="shared" si="7"/>
        <v>0</v>
      </c>
      <c r="G162" s="32"/>
    </row>
    <row r="163" spans="1:13" x14ac:dyDescent="0.25">
      <c r="A163" s="118">
        <f t="shared" si="6"/>
        <v>23</v>
      </c>
      <c r="B163" s="12" t="s">
        <v>34</v>
      </c>
      <c r="C163" s="118" t="s">
        <v>53</v>
      </c>
      <c r="D163" s="19">
        <v>22</v>
      </c>
      <c r="E163" s="28">
        <v>120657</v>
      </c>
      <c r="F163" s="122">
        <f t="shared" si="7"/>
        <v>2654454</v>
      </c>
      <c r="G163" s="32"/>
    </row>
    <row r="164" spans="1:13" ht="29.25" x14ac:dyDescent="0.25">
      <c r="A164" s="118">
        <f t="shared" si="6"/>
        <v>24</v>
      </c>
      <c r="B164" s="12" t="s">
        <v>35</v>
      </c>
      <c r="C164" s="118" t="s">
        <v>53</v>
      </c>
      <c r="D164" s="19">
        <v>216</v>
      </c>
      <c r="E164" s="28">
        <v>22131</v>
      </c>
      <c r="F164" s="122">
        <f t="shared" si="7"/>
        <v>4780296</v>
      </c>
      <c r="G164" s="32"/>
    </row>
    <row r="165" spans="1:13" x14ac:dyDescent="0.25">
      <c r="A165" s="118">
        <f t="shared" si="6"/>
        <v>25</v>
      </c>
      <c r="B165" s="12" t="s">
        <v>36</v>
      </c>
      <c r="C165" s="118" t="s">
        <v>53</v>
      </c>
      <c r="D165" s="19">
        <v>48</v>
      </c>
      <c r="E165" s="28">
        <v>144847</v>
      </c>
      <c r="F165" s="122">
        <f t="shared" si="7"/>
        <v>6952656</v>
      </c>
      <c r="G165" s="32"/>
    </row>
    <row r="166" spans="1:13" x14ac:dyDescent="0.25">
      <c r="A166" s="118">
        <f t="shared" si="6"/>
        <v>26</v>
      </c>
      <c r="B166" s="101" t="s">
        <v>38</v>
      </c>
      <c r="C166" s="15"/>
      <c r="D166" s="15"/>
      <c r="E166" s="28">
        <v>0</v>
      </c>
      <c r="F166" s="122">
        <f t="shared" si="7"/>
        <v>0</v>
      </c>
      <c r="G166" s="32"/>
    </row>
    <row r="167" spans="1:13" ht="29.25" x14ac:dyDescent="0.25">
      <c r="A167" s="118">
        <f t="shared" si="6"/>
        <v>27</v>
      </c>
      <c r="B167" s="12" t="s">
        <v>39</v>
      </c>
      <c r="C167" s="118" t="s">
        <v>53</v>
      </c>
      <c r="D167" s="19">
        <v>1</v>
      </c>
      <c r="E167" s="28">
        <v>605480</v>
      </c>
      <c r="F167" s="122">
        <f t="shared" si="7"/>
        <v>605480</v>
      </c>
      <c r="G167" s="32"/>
    </row>
    <row r="168" spans="1:13" ht="29.25" x14ac:dyDescent="0.25">
      <c r="A168" s="118">
        <f t="shared" si="6"/>
        <v>28</v>
      </c>
      <c r="B168" s="12" t="s">
        <v>40</v>
      </c>
      <c r="C168" s="118" t="s">
        <v>53</v>
      </c>
      <c r="D168" s="19">
        <v>35</v>
      </c>
      <c r="E168" s="28">
        <v>822268</v>
      </c>
      <c r="F168" s="122">
        <f t="shared" si="7"/>
        <v>28779380</v>
      </c>
      <c r="G168" s="32"/>
    </row>
    <row r="169" spans="1:13" x14ac:dyDescent="0.25">
      <c r="A169" s="118">
        <f t="shared" si="6"/>
        <v>29</v>
      </c>
      <c r="B169" s="101" t="s">
        <v>41</v>
      </c>
      <c r="C169" s="15"/>
      <c r="D169" s="15"/>
      <c r="E169" s="28">
        <v>0</v>
      </c>
      <c r="F169" s="122">
        <f t="shared" si="7"/>
        <v>0</v>
      </c>
      <c r="G169" s="32"/>
    </row>
    <row r="170" spans="1:13" x14ac:dyDescent="0.25">
      <c r="A170" s="118">
        <f t="shared" si="6"/>
        <v>30</v>
      </c>
      <c r="B170" s="12" t="s">
        <v>42</v>
      </c>
      <c r="C170" s="118" t="s">
        <v>43</v>
      </c>
      <c r="D170" s="19">
        <v>30</v>
      </c>
      <c r="E170" s="28">
        <v>5922</v>
      </c>
      <c r="F170" s="122">
        <f t="shared" si="7"/>
        <v>177660</v>
      </c>
      <c r="G170" s="32"/>
      <c r="K170" s="22"/>
      <c r="M170" s="20"/>
    </row>
    <row r="171" spans="1:13" x14ac:dyDescent="0.25">
      <c r="A171" s="116"/>
      <c r="B171" s="13" t="s">
        <v>46</v>
      </c>
      <c r="C171" s="23"/>
      <c r="D171" s="57"/>
      <c r="E171" s="16"/>
      <c r="F171" s="16">
        <f>ROUND((F170+F169+F168+F167+F166+F165+F164+F163+F162+F161+F160+F159+F142+F143+F146+F147+F148+F149+F150+F151+F152+F153+F155+F154+F156+F157+F158+F144+F145),0)</f>
        <v>94717783</v>
      </c>
      <c r="G171" s="32"/>
    </row>
    <row r="172" spans="1:13" x14ac:dyDescent="0.25">
      <c r="A172" s="14"/>
      <c r="B172" s="14" t="s">
        <v>49</v>
      </c>
      <c r="C172" s="14"/>
      <c r="D172" s="14"/>
      <c r="E172" s="14"/>
      <c r="F172" s="17">
        <f>ROUND(F171/1.3495,0)</f>
        <v>70187316</v>
      </c>
      <c r="G172" s="32"/>
    </row>
    <row r="173" spans="1:13" x14ac:dyDescent="0.25">
      <c r="A173" s="14"/>
      <c r="B173" s="14" t="s">
        <v>50</v>
      </c>
      <c r="C173" s="58">
        <v>0.24</v>
      </c>
      <c r="D173" s="14"/>
      <c r="E173" s="14"/>
      <c r="F173" s="17">
        <f>ROUND(F172*C173,0)</f>
        <v>16844956</v>
      </c>
      <c r="G173" s="32"/>
    </row>
    <row r="174" spans="1:13" x14ac:dyDescent="0.25">
      <c r="A174" s="14"/>
      <c r="B174" s="14" t="s">
        <v>47</v>
      </c>
      <c r="C174" s="58">
        <v>0.05</v>
      </c>
      <c r="D174" s="14"/>
      <c r="E174" s="14"/>
      <c r="F174" s="17">
        <f>ROUND(F172*C174,0)</f>
        <v>3509366</v>
      </c>
      <c r="G174" s="32"/>
    </row>
    <row r="175" spans="1:13" x14ac:dyDescent="0.25">
      <c r="A175" s="14"/>
      <c r="B175" s="14" t="s">
        <v>51</v>
      </c>
      <c r="C175" s="58">
        <v>0.05</v>
      </c>
      <c r="D175" s="14"/>
      <c r="E175" s="14"/>
      <c r="F175" s="17">
        <f>ROUND(F172*C175,0)</f>
        <v>3509366</v>
      </c>
      <c r="G175" s="32"/>
    </row>
    <row r="176" spans="1:13" x14ac:dyDescent="0.25">
      <c r="A176" s="14"/>
      <c r="B176" s="59" t="s">
        <v>52</v>
      </c>
      <c r="C176" s="60">
        <v>0.19</v>
      </c>
      <c r="D176" s="51"/>
      <c r="E176" s="51"/>
      <c r="F176" s="21">
        <f>ROUND(F175*19%,0)</f>
        <v>666780</v>
      </c>
      <c r="G176" s="32"/>
    </row>
    <row r="177" spans="1:9" x14ac:dyDescent="0.25">
      <c r="A177" s="14"/>
      <c r="B177" s="13" t="s">
        <v>46</v>
      </c>
      <c r="C177" s="14"/>
      <c r="D177" s="14"/>
      <c r="E177" s="14"/>
      <c r="F177" s="18">
        <f>SUM(F172:F176)</f>
        <v>94717784</v>
      </c>
      <c r="G177" s="32"/>
    </row>
    <row r="178" spans="1:9" x14ac:dyDescent="0.25">
      <c r="A178" s="32"/>
      <c r="B178" s="32"/>
      <c r="C178" s="32"/>
      <c r="D178" s="32"/>
      <c r="E178" s="32"/>
      <c r="F178" s="32"/>
      <c r="G178" s="32"/>
    </row>
    <row r="179" spans="1:9" ht="35.25" customHeight="1" x14ac:dyDescent="0.25">
      <c r="A179" s="189" t="s">
        <v>250</v>
      </c>
      <c r="B179" s="189"/>
      <c r="C179" s="189"/>
      <c r="D179" s="189"/>
      <c r="E179" s="189"/>
      <c r="F179" s="189"/>
      <c r="G179" s="32"/>
    </row>
    <row r="180" spans="1:9" x14ac:dyDescent="0.25">
      <c r="A180" s="157" t="s">
        <v>4</v>
      </c>
      <c r="B180" s="157" t="s">
        <v>0</v>
      </c>
      <c r="C180" s="157" t="s">
        <v>5</v>
      </c>
      <c r="D180" s="157" t="s">
        <v>6</v>
      </c>
      <c r="E180" s="157"/>
      <c r="F180" s="157"/>
      <c r="G180" s="32"/>
    </row>
    <row r="181" spans="1:9" x14ac:dyDescent="0.25">
      <c r="A181" s="157"/>
      <c r="B181" s="157"/>
      <c r="C181" s="157"/>
      <c r="D181" s="23" t="s">
        <v>7</v>
      </c>
      <c r="E181" s="23" t="s">
        <v>8</v>
      </c>
      <c r="F181" s="23" t="s">
        <v>9</v>
      </c>
      <c r="G181" s="32"/>
    </row>
    <row r="182" spans="1:9" x14ac:dyDescent="0.25">
      <c r="A182" s="118">
        <f t="shared" ref="A182:A217" si="8">A181+1</f>
        <v>1</v>
      </c>
      <c r="B182" s="8" t="s">
        <v>10</v>
      </c>
      <c r="C182" s="123"/>
      <c r="D182" s="94"/>
      <c r="E182" s="95"/>
      <c r="F182" s="95"/>
      <c r="G182" s="32"/>
    </row>
    <row r="183" spans="1:9" ht="42.75" x14ac:dyDescent="0.25">
      <c r="A183" s="118">
        <f t="shared" si="8"/>
        <v>2</v>
      </c>
      <c r="B183" s="59" t="s">
        <v>117</v>
      </c>
      <c r="C183" s="118" t="s">
        <v>118</v>
      </c>
      <c r="D183" s="99">
        <v>82</v>
      </c>
      <c r="E183" s="100">
        <v>6807</v>
      </c>
      <c r="F183" s="100">
        <f>ROUND(D183*E183,0)</f>
        <v>558174</v>
      </c>
      <c r="G183" s="32"/>
      <c r="I183" s="22"/>
    </row>
    <row r="184" spans="1:9" ht="43.5" x14ac:dyDescent="0.25">
      <c r="A184" s="118">
        <f t="shared" si="8"/>
        <v>3</v>
      </c>
      <c r="B184" s="9" t="s">
        <v>119</v>
      </c>
      <c r="C184" s="118" t="s">
        <v>118</v>
      </c>
      <c r="D184" s="99">
        <v>169</v>
      </c>
      <c r="E184" s="100">
        <v>12418</v>
      </c>
      <c r="F184" s="100">
        <f>ROUND(D184*E184,0)</f>
        <v>2098642</v>
      </c>
      <c r="G184" s="32"/>
      <c r="I184" s="22"/>
    </row>
    <row r="185" spans="1:9" ht="43.5" x14ac:dyDescent="0.25">
      <c r="A185" s="118">
        <f t="shared" si="8"/>
        <v>4</v>
      </c>
      <c r="B185" s="9" t="s">
        <v>120</v>
      </c>
      <c r="C185" s="118" t="s">
        <v>83</v>
      </c>
      <c r="D185" s="99">
        <v>2</v>
      </c>
      <c r="E185" s="100">
        <v>243668</v>
      </c>
      <c r="F185" s="100">
        <f>ROUND(D185*E185,0)</f>
        <v>487336</v>
      </c>
      <c r="G185" s="32"/>
      <c r="I185" s="22"/>
    </row>
    <row r="186" spans="1:9" x14ac:dyDescent="0.25">
      <c r="A186" s="118">
        <f t="shared" si="8"/>
        <v>5</v>
      </c>
      <c r="B186" s="8" t="s">
        <v>121</v>
      </c>
      <c r="C186" s="118"/>
      <c r="D186" s="99"/>
      <c r="E186" s="100" t="s">
        <v>1</v>
      </c>
      <c r="F186" s="100"/>
      <c r="G186" s="32"/>
      <c r="I186" s="22"/>
    </row>
    <row r="187" spans="1:9" x14ac:dyDescent="0.25">
      <c r="A187" s="118">
        <f t="shared" si="8"/>
        <v>6</v>
      </c>
      <c r="B187" s="14" t="s">
        <v>122</v>
      </c>
      <c r="C187" s="118" t="s">
        <v>74</v>
      </c>
      <c r="D187" s="99">
        <v>1.1200000000000001</v>
      </c>
      <c r="E187" s="100">
        <v>127317</v>
      </c>
      <c r="F187" s="100">
        <f>ROUND(D187*E187,0)</f>
        <v>142595</v>
      </c>
      <c r="G187" s="32"/>
      <c r="I187" s="22"/>
    </row>
    <row r="188" spans="1:9" ht="29.25" x14ac:dyDescent="0.25">
      <c r="A188" s="118">
        <f t="shared" si="8"/>
        <v>7</v>
      </c>
      <c r="B188" s="9" t="s">
        <v>123</v>
      </c>
      <c r="C188" s="118" t="s">
        <v>74</v>
      </c>
      <c r="D188" s="99">
        <v>1.4</v>
      </c>
      <c r="E188" s="100">
        <v>103125</v>
      </c>
      <c r="F188" s="100">
        <f>ROUND(D188*E188,0)</f>
        <v>144375</v>
      </c>
      <c r="G188" s="32"/>
      <c r="I188" s="22"/>
    </row>
    <row r="189" spans="1:9" ht="43.5" x14ac:dyDescent="0.25">
      <c r="A189" s="118">
        <f t="shared" si="8"/>
        <v>8</v>
      </c>
      <c r="B189" s="9" t="s">
        <v>124</v>
      </c>
      <c r="C189" s="118" t="s">
        <v>74</v>
      </c>
      <c r="D189" s="99">
        <v>11.25</v>
      </c>
      <c r="E189" s="100">
        <v>96891</v>
      </c>
      <c r="F189" s="100">
        <f>ROUND(D189*E189,0)</f>
        <v>1090024</v>
      </c>
      <c r="G189" s="32"/>
      <c r="I189" s="22"/>
    </row>
    <row r="190" spans="1:9" x14ac:dyDescent="0.25">
      <c r="A190" s="118">
        <f t="shared" si="8"/>
        <v>9</v>
      </c>
      <c r="B190" s="96" t="s">
        <v>125</v>
      </c>
      <c r="C190" s="118"/>
      <c r="D190" s="99"/>
      <c r="E190" s="100" t="s">
        <v>1</v>
      </c>
      <c r="F190" s="100"/>
      <c r="G190" s="32"/>
      <c r="I190" s="22"/>
    </row>
    <row r="191" spans="1:9" ht="29.25" x14ac:dyDescent="0.25">
      <c r="A191" s="118">
        <f t="shared" si="8"/>
        <v>10</v>
      </c>
      <c r="B191" s="9" t="s">
        <v>127</v>
      </c>
      <c r="C191" s="118" t="s">
        <v>74</v>
      </c>
      <c r="D191" s="99">
        <v>13.77</v>
      </c>
      <c r="E191" s="100">
        <v>37784</v>
      </c>
      <c r="F191" s="100">
        <f>ROUND(D191*E191,0)</f>
        <v>520286</v>
      </c>
      <c r="G191" s="32"/>
      <c r="I191" s="22"/>
    </row>
    <row r="192" spans="1:9" x14ac:dyDescent="0.25">
      <c r="A192" s="118">
        <f t="shared" si="8"/>
        <v>11</v>
      </c>
      <c r="B192" s="96" t="s">
        <v>128</v>
      </c>
      <c r="C192" s="118"/>
      <c r="D192" s="99"/>
      <c r="E192" s="100" t="s">
        <v>1</v>
      </c>
      <c r="F192" s="100"/>
      <c r="G192" s="32"/>
      <c r="I192" s="22"/>
    </row>
    <row r="193" spans="1:9" ht="29.25" x14ac:dyDescent="0.25">
      <c r="A193" s="118">
        <f t="shared" si="8"/>
        <v>12</v>
      </c>
      <c r="B193" s="9" t="s">
        <v>130</v>
      </c>
      <c r="C193" s="118" t="s">
        <v>74</v>
      </c>
      <c r="D193" s="99">
        <v>113.29</v>
      </c>
      <c r="E193" s="100">
        <v>30196</v>
      </c>
      <c r="F193" s="100">
        <f>ROUND(D193*E193,0)</f>
        <v>3420905</v>
      </c>
      <c r="G193" s="32"/>
      <c r="I193" s="22"/>
    </row>
    <row r="194" spans="1:9" ht="29.25" x14ac:dyDescent="0.25">
      <c r="A194" s="118">
        <f t="shared" si="8"/>
        <v>13</v>
      </c>
      <c r="B194" s="9" t="s">
        <v>131</v>
      </c>
      <c r="C194" s="118" t="s">
        <v>74</v>
      </c>
      <c r="D194" s="99">
        <v>16.72</v>
      </c>
      <c r="E194" s="100">
        <v>36029</v>
      </c>
      <c r="F194" s="100">
        <f>ROUND(D194*E194,0)</f>
        <v>602405</v>
      </c>
      <c r="G194" s="32"/>
      <c r="I194" s="22"/>
    </row>
    <row r="195" spans="1:9" ht="29.25" x14ac:dyDescent="0.25">
      <c r="A195" s="118">
        <f t="shared" si="8"/>
        <v>14</v>
      </c>
      <c r="B195" s="9" t="s">
        <v>132</v>
      </c>
      <c r="C195" s="118" t="s">
        <v>14</v>
      </c>
      <c r="D195" s="99">
        <v>35</v>
      </c>
      <c r="E195" s="100">
        <v>36641</v>
      </c>
      <c r="F195" s="100">
        <f>ROUND(D195*E195,0)</f>
        <v>1282435</v>
      </c>
      <c r="G195" s="32"/>
      <c r="I195" s="22"/>
    </row>
    <row r="196" spans="1:9" x14ac:dyDescent="0.25">
      <c r="A196" s="118">
        <f t="shared" si="8"/>
        <v>15</v>
      </c>
      <c r="B196" s="96" t="s">
        <v>133</v>
      </c>
      <c r="C196" s="118"/>
      <c r="D196" s="99"/>
      <c r="E196" s="100" t="s">
        <v>1</v>
      </c>
      <c r="F196" s="100"/>
      <c r="G196" s="32"/>
      <c r="I196" s="22"/>
    </row>
    <row r="197" spans="1:9" ht="29.25" x14ac:dyDescent="0.25">
      <c r="A197" s="118">
        <f t="shared" si="8"/>
        <v>16</v>
      </c>
      <c r="B197" s="9" t="s">
        <v>135</v>
      </c>
      <c r="C197" s="118" t="s">
        <v>74</v>
      </c>
      <c r="D197" s="99">
        <v>67</v>
      </c>
      <c r="E197" s="100">
        <v>24785</v>
      </c>
      <c r="F197" s="100">
        <f>ROUND(D197*E197,0)</f>
        <v>1660595</v>
      </c>
      <c r="G197" s="32"/>
      <c r="I197" s="22"/>
    </row>
    <row r="198" spans="1:9" ht="29.25" x14ac:dyDescent="0.25">
      <c r="A198" s="118">
        <f t="shared" si="8"/>
        <v>17</v>
      </c>
      <c r="B198" s="9" t="s">
        <v>136</v>
      </c>
      <c r="C198" s="118" t="s">
        <v>74</v>
      </c>
      <c r="D198" s="99">
        <v>16.72</v>
      </c>
      <c r="E198" s="100">
        <v>108461</v>
      </c>
      <c r="F198" s="100">
        <f>ROUND(D198*E198,0)</f>
        <v>1813468</v>
      </c>
      <c r="G198" s="32"/>
      <c r="I198" s="22"/>
    </row>
    <row r="199" spans="1:9" ht="30" x14ac:dyDescent="0.25">
      <c r="A199" s="118">
        <f t="shared" si="8"/>
        <v>18</v>
      </c>
      <c r="B199" s="96" t="s">
        <v>137</v>
      </c>
      <c r="C199" s="123"/>
      <c r="D199" s="94"/>
      <c r="E199" s="95" t="s">
        <v>1</v>
      </c>
      <c r="F199" s="95"/>
      <c r="G199" s="32"/>
      <c r="I199" s="22"/>
    </row>
    <row r="200" spans="1:9" ht="43.5" x14ac:dyDescent="0.25">
      <c r="A200" s="118">
        <f t="shared" si="8"/>
        <v>19</v>
      </c>
      <c r="B200" s="9" t="s">
        <v>138</v>
      </c>
      <c r="C200" s="118" t="s">
        <v>74</v>
      </c>
      <c r="D200" s="99">
        <v>1.84</v>
      </c>
      <c r="E200" s="100">
        <v>98808</v>
      </c>
      <c r="F200" s="100">
        <f>ROUND(D200*E200,0)</f>
        <v>181807</v>
      </c>
      <c r="G200" s="32"/>
      <c r="I200" s="22"/>
    </row>
    <row r="201" spans="1:9" ht="57.75" x14ac:dyDescent="0.25">
      <c r="A201" s="118">
        <f t="shared" si="8"/>
        <v>20</v>
      </c>
      <c r="B201" s="9" t="s">
        <v>139</v>
      </c>
      <c r="C201" s="118" t="s">
        <v>74</v>
      </c>
      <c r="D201" s="99">
        <v>15.12</v>
      </c>
      <c r="E201" s="100">
        <v>178911</v>
      </c>
      <c r="F201" s="100">
        <f>ROUND(D201*E201,0)</f>
        <v>2705134</v>
      </c>
      <c r="G201" s="32"/>
      <c r="I201" s="22"/>
    </row>
    <row r="202" spans="1:9" ht="43.5" x14ac:dyDescent="0.25">
      <c r="A202" s="118">
        <f t="shared" si="8"/>
        <v>21</v>
      </c>
      <c r="B202" s="9" t="s">
        <v>140</v>
      </c>
      <c r="C202" s="118" t="s">
        <v>74</v>
      </c>
      <c r="D202" s="99">
        <v>31.4</v>
      </c>
      <c r="E202" s="100">
        <v>102106</v>
      </c>
      <c r="F202" s="100">
        <f>ROUND(D202*E202,0)</f>
        <v>3206128</v>
      </c>
      <c r="G202" s="32"/>
      <c r="I202" s="22"/>
    </row>
    <row r="203" spans="1:9" x14ac:dyDescent="0.25">
      <c r="A203" s="118">
        <f t="shared" si="8"/>
        <v>22</v>
      </c>
      <c r="B203" s="96" t="s">
        <v>141</v>
      </c>
      <c r="C203" s="118"/>
      <c r="D203" s="99"/>
      <c r="E203" s="100" t="s">
        <v>1</v>
      </c>
      <c r="F203" s="100"/>
      <c r="G203" s="32"/>
      <c r="I203" s="22"/>
    </row>
    <row r="204" spans="1:9" ht="57.75" x14ac:dyDescent="0.25">
      <c r="A204" s="118">
        <f t="shared" si="8"/>
        <v>23</v>
      </c>
      <c r="B204" s="9" t="s">
        <v>142</v>
      </c>
      <c r="C204" s="118" t="s">
        <v>12</v>
      </c>
      <c r="D204" s="99">
        <f>3*10</f>
        <v>30</v>
      </c>
      <c r="E204" s="100">
        <v>50989</v>
      </c>
      <c r="F204" s="100">
        <f t="shared" ref="F204:F211" si="9">ROUND(D204*E204,0)</f>
        <v>1529670</v>
      </c>
      <c r="G204" s="32"/>
      <c r="I204" s="22"/>
    </row>
    <row r="205" spans="1:9" ht="57.75" x14ac:dyDescent="0.25">
      <c r="A205" s="118">
        <f>A204+1</f>
        <v>24</v>
      </c>
      <c r="B205" s="9" t="s">
        <v>143</v>
      </c>
      <c r="C205" s="118" t="s">
        <v>12</v>
      </c>
      <c r="D205" s="99">
        <v>82</v>
      </c>
      <c r="E205" s="100">
        <v>133466</v>
      </c>
      <c r="F205" s="100">
        <f t="shared" si="9"/>
        <v>10944212</v>
      </c>
      <c r="G205" s="32"/>
      <c r="I205" s="22"/>
    </row>
    <row r="206" spans="1:9" ht="29.25" x14ac:dyDescent="0.25">
      <c r="A206" s="118">
        <f t="shared" si="8"/>
        <v>25</v>
      </c>
      <c r="B206" s="9" t="s">
        <v>144</v>
      </c>
      <c r="C206" s="118" t="s">
        <v>83</v>
      </c>
      <c r="D206" s="99">
        <v>2</v>
      </c>
      <c r="E206" s="100">
        <v>100510</v>
      </c>
      <c r="F206" s="100">
        <f t="shared" si="9"/>
        <v>201020</v>
      </c>
      <c r="G206" s="32"/>
      <c r="I206" s="22"/>
    </row>
    <row r="207" spans="1:9" ht="29.25" x14ac:dyDescent="0.25">
      <c r="A207" s="118">
        <f t="shared" si="8"/>
        <v>26</v>
      </c>
      <c r="B207" s="9" t="s">
        <v>145</v>
      </c>
      <c r="C207" s="123" t="s">
        <v>83</v>
      </c>
      <c r="D207" s="94">
        <v>5</v>
      </c>
      <c r="E207" s="95">
        <v>68124</v>
      </c>
      <c r="F207" s="95">
        <f t="shared" si="9"/>
        <v>340620</v>
      </c>
      <c r="G207" s="32"/>
      <c r="I207" s="22"/>
    </row>
    <row r="208" spans="1:9" ht="29.25" x14ac:dyDescent="0.25">
      <c r="A208" s="118">
        <f t="shared" si="8"/>
        <v>27</v>
      </c>
      <c r="B208" s="9" t="s">
        <v>146</v>
      </c>
      <c r="C208" s="123" t="s">
        <v>12</v>
      </c>
      <c r="D208" s="94">
        <v>4.5</v>
      </c>
      <c r="E208" s="95">
        <v>724737</v>
      </c>
      <c r="F208" s="95">
        <f t="shared" si="9"/>
        <v>3261317</v>
      </c>
      <c r="G208" s="32"/>
      <c r="I208" s="22"/>
    </row>
    <row r="209" spans="1:13" ht="29.25" x14ac:dyDescent="0.25">
      <c r="A209" s="118">
        <f t="shared" si="8"/>
        <v>28</v>
      </c>
      <c r="B209" s="9" t="s">
        <v>147</v>
      </c>
      <c r="C209" s="123" t="s">
        <v>83</v>
      </c>
      <c r="D209" s="94">
        <v>3</v>
      </c>
      <c r="E209" s="95">
        <v>599179</v>
      </c>
      <c r="F209" s="95">
        <f t="shared" si="9"/>
        <v>1797537</v>
      </c>
      <c r="G209" s="32"/>
      <c r="I209" s="22"/>
    </row>
    <row r="210" spans="1:13" ht="29.25" x14ac:dyDescent="0.25">
      <c r="A210" s="118">
        <f t="shared" si="8"/>
        <v>29</v>
      </c>
      <c r="B210" s="9" t="s">
        <v>148</v>
      </c>
      <c r="C210" s="123" t="s">
        <v>83</v>
      </c>
      <c r="D210" s="94">
        <v>3</v>
      </c>
      <c r="E210" s="95">
        <v>576006</v>
      </c>
      <c r="F210" s="95">
        <f t="shared" si="9"/>
        <v>1728018</v>
      </c>
      <c r="G210" s="32"/>
      <c r="I210" s="22"/>
    </row>
    <row r="211" spans="1:13" ht="43.5" x14ac:dyDescent="0.25">
      <c r="A211" s="118">
        <f t="shared" si="8"/>
        <v>30</v>
      </c>
      <c r="B211" s="9" t="s">
        <v>149</v>
      </c>
      <c r="C211" s="123" t="s">
        <v>17</v>
      </c>
      <c r="D211" s="94">
        <v>10</v>
      </c>
      <c r="E211" s="95">
        <v>415522</v>
      </c>
      <c r="F211" s="95">
        <f t="shared" si="9"/>
        <v>4155220</v>
      </c>
      <c r="G211" s="32"/>
      <c r="I211" s="22"/>
    </row>
    <row r="212" spans="1:13" ht="72" x14ac:dyDescent="0.25">
      <c r="A212" s="118">
        <f>A211+1</f>
        <v>31</v>
      </c>
      <c r="B212" s="9" t="s">
        <v>150</v>
      </c>
      <c r="C212" s="123" t="s">
        <v>83</v>
      </c>
      <c r="D212" s="94">
        <v>3</v>
      </c>
      <c r="E212" s="95">
        <v>725814</v>
      </c>
      <c r="F212" s="95">
        <f>ROUND(D212*E212,0)</f>
        <v>2177442</v>
      </c>
      <c r="G212" s="32"/>
      <c r="I212" s="22"/>
    </row>
    <row r="213" spans="1:13" x14ac:dyDescent="0.25">
      <c r="A213" s="118">
        <f t="shared" si="8"/>
        <v>32</v>
      </c>
      <c r="B213" s="9" t="s">
        <v>151</v>
      </c>
      <c r="C213" s="123" t="s">
        <v>83</v>
      </c>
      <c r="D213" s="94">
        <v>10</v>
      </c>
      <c r="E213" s="95">
        <v>66314</v>
      </c>
      <c r="F213" s="95">
        <f>ROUND(D213*E213,0)</f>
        <v>663140</v>
      </c>
      <c r="G213" s="32"/>
      <c r="I213" s="22"/>
    </row>
    <row r="214" spans="1:13" x14ac:dyDescent="0.25">
      <c r="A214" s="118">
        <f t="shared" si="8"/>
        <v>33</v>
      </c>
      <c r="B214" s="96" t="s">
        <v>152</v>
      </c>
      <c r="C214" s="123"/>
      <c r="D214" s="94"/>
      <c r="E214" s="95">
        <v>0</v>
      </c>
      <c r="F214" s="95"/>
      <c r="G214" s="32"/>
      <c r="I214" s="22"/>
    </row>
    <row r="215" spans="1:13" ht="29.25" x14ac:dyDescent="0.25">
      <c r="A215" s="118">
        <f t="shared" si="8"/>
        <v>34</v>
      </c>
      <c r="B215" s="9" t="s">
        <v>153</v>
      </c>
      <c r="C215" s="123" t="s">
        <v>12</v>
      </c>
      <c r="D215" s="94">
        <v>192</v>
      </c>
      <c r="E215" s="95">
        <v>12737</v>
      </c>
      <c r="F215" s="95">
        <f>ROUND(D215*E215,0)</f>
        <v>2445504</v>
      </c>
      <c r="G215" s="32"/>
      <c r="I215" s="22"/>
    </row>
    <row r="216" spans="1:13" ht="43.5" x14ac:dyDescent="0.25">
      <c r="A216" s="118">
        <f>A215+1</f>
        <v>35</v>
      </c>
      <c r="B216" s="97" t="s">
        <v>154</v>
      </c>
      <c r="C216" s="123" t="s">
        <v>74</v>
      </c>
      <c r="D216" s="94">
        <v>1.84</v>
      </c>
      <c r="E216" s="95">
        <v>752231</v>
      </c>
      <c r="F216" s="95">
        <f>ROUND(D216*E216,0)</f>
        <v>1384105</v>
      </c>
      <c r="G216" s="32"/>
      <c r="I216" s="22"/>
    </row>
    <row r="217" spans="1:13" ht="57" x14ac:dyDescent="0.25">
      <c r="A217" s="118">
        <f t="shared" si="8"/>
        <v>36</v>
      </c>
      <c r="B217" s="7" t="s">
        <v>155</v>
      </c>
      <c r="C217" s="123" t="s">
        <v>74</v>
      </c>
      <c r="D217" s="94">
        <v>12.19</v>
      </c>
      <c r="E217" s="95">
        <v>913832</v>
      </c>
      <c r="F217" s="95">
        <f>ROUND(D217*E217,0)</f>
        <v>11139612</v>
      </c>
      <c r="G217" s="32"/>
      <c r="I217" s="22"/>
      <c r="M217" s="20"/>
    </row>
    <row r="218" spans="1:13" x14ac:dyDescent="0.25">
      <c r="A218" s="14"/>
      <c r="B218" s="14"/>
      <c r="C218" s="123"/>
      <c r="D218" s="123"/>
      <c r="E218" s="95"/>
      <c r="F218" s="95"/>
      <c r="G218" s="32"/>
    </row>
    <row r="219" spans="1:13" x14ac:dyDescent="0.25">
      <c r="A219" s="116"/>
      <c r="B219" s="13" t="s">
        <v>46</v>
      </c>
      <c r="C219" s="23"/>
      <c r="D219" s="57"/>
      <c r="E219" s="16"/>
      <c r="F219" s="16">
        <f>ROUND(F217+F216+F215+F213+F212+F211+F210+F209+F208+F207+F206+F205+F204+++F202+F201+F200+F198+F197+F195+F194+F193+F191+F189+F188+F187+F185+F184+F183,0)</f>
        <v>61681726</v>
      </c>
      <c r="G219" s="32"/>
      <c r="M219" s="20"/>
    </row>
    <row r="220" spans="1:13" x14ac:dyDescent="0.25">
      <c r="A220" s="14"/>
      <c r="B220" s="14" t="s">
        <v>49</v>
      </c>
      <c r="C220" s="14"/>
      <c r="D220" s="14"/>
      <c r="E220" s="14"/>
      <c r="F220" s="17">
        <f>ROUND(F219/1.3495,0)</f>
        <v>45707096</v>
      </c>
      <c r="G220" s="32"/>
    </row>
    <row r="221" spans="1:13" x14ac:dyDescent="0.25">
      <c r="A221" s="14"/>
      <c r="B221" s="14" t="s">
        <v>50</v>
      </c>
      <c r="C221" s="58">
        <v>0.24</v>
      </c>
      <c r="D221" s="14"/>
      <c r="E221" s="14"/>
      <c r="F221" s="17">
        <f>ROUND(F220*C221,0)</f>
        <v>10969703</v>
      </c>
      <c r="G221" s="32"/>
    </row>
    <row r="222" spans="1:13" x14ac:dyDescent="0.25">
      <c r="A222" s="14"/>
      <c r="B222" s="14" t="s">
        <v>47</v>
      </c>
      <c r="C222" s="58">
        <v>0.05</v>
      </c>
      <c r="D222" s="14"/>
      <c r="E222" s="14"/>
      <c r="F222" s="17">
        <f>ROUND(F220*C222,0)</f>
        <v>2285355</v>
      </c>
      <c r="G222" s="32"/>
    </row>
    <row r="223" spans="1:13" x14ac:dyDescent="0.25">
      <c r="A223" s="14"/>
      <c r="B223" s="14" t="s">
        <v>51</v>
      </c>
      <c r="C223" s="58">
        <v>0.05</v>
      </c>
      <c r="D223" s="14"/>
      <c r="E223" s="14"/>
      <c r="F223" s="17">
        <f>ROUND(F220*C223,0)</f>
        <v>2285355</v>
      </c>
      <c r="G223" s="32"/>
    </row>
    <row r="224" spans="1:13" x14ac:dyDescent="0.25">
      <c r="A224" s="14"/>
      <c r="B224" s="59" t="s">
        <v>52</v>
      </c>
      <c r="C224" s="60">
        <v>0.19</v>
      </c>
      <c r="D224" s="51"/>
      <c r="E224" s="51"/>
      <c r="F224" s="21">
        <f>ROUND(F223*19%,0)</f>
        <v>434217</v>
      </c>
      <c r="G224" s="32"/>
    </row>
    <row r="225" spans="1:7" x14ac:dyDescent="0.25">
      <c r="A225" s="14"/>
      <c r="B225" s="13" t="s">
        <v>46</v>
      </c>
      <c r="C225" s="14"/>
      <c r="D225" s="14"/>
      <c r="E225" s="14"/>
      <c r="F225" s="18">
        <f>SUM(F220:F224)</f>
        <v>61681726</v>
      </c>
      <c r="G225" s="32"/>
    </row>
    <row r="226" spans="1:7" ht="15.75" thickBot="1" x14ac:dyDescent="0.3">
      <c r="A226" s="32"/>
      <c r="B226" s="32"/>
      <c r="C226" s="32"/>
      <c r="D226" s="32"/>
      <c r="E226" s="32"/>
      <c r="F226" s="32"/>
      <c r="G226" s="32"/>
    </row>
    <row r="227" spans="1:7" ht="39" customHeight="1" x14ac:dyDescent="0.25">
      <c r="A227" s="186" t="s">
        <v>251</v>
      </c>
      <c r="B227" s="187"/>
      <c r="C227" s="187"/>
      <c r="D227" s="187"/>
      <c r="E227" s="187"/>
      <c r="F227" s="188"/>
      <c r="G227" s="32"/>
    </row>
    <row r="228" spans="1:7" x14ac:dyDescent="0.25">
      <c r="A228" s="157" t="s">
        <v>4</v>
      </c>
      <c r="B228" s="157" t="s">
        <v>0</v>
      </c>
      <c r="C228" s="157" t="s">
        <v>5</v>
      </c>
      <c r="D228" s="157" t="s">
        <v>6</v>
      </c>
      <c r="E228" s="157"/>
      <c r="F228" s="157"/>
      <c r="G228" s="32"/>
    </row>
    <row r="229" spans="1:7" x14ac:dyDescent="0.25">
      <c r="A229" s="157"/>
      <c r="B229" s="157"/>
      <c r="C229" s="157"/>
      <c r="D229" s="23" t="s">
        <v>7</v>
      </c>
      <c r="E229" s="23" t="s">
        <v>8</v>
      </c>
      <c r="F229" s="23" t="s">
        <v>9</v>
      </c>
      <c r="G229" s="32"/>
    </row>
    <row r="230" spans="1:7" x14ac:dyDescent="0.25">
      <c r="A230" s="118">
        <f t="shared" ref="A230:A265" si="10">A229+1</f>
        <v>1</v>
      </c>
      <c r="B230" s="8" t="s">
        <v>10</v>
      </c>
      <c r="C230" s="123"/>
      <c r="D230" s="94"/>
      <c r="E230" s="95"/>
      <c r="F230" s="95"/>
      <c r="G230" s="32"/>
    </row>
    <row r="231" spans="1:7" ht="42.75" x14ac:dyDescent="0.25">
      <c r="A231" s="118">
        <f t="shared" si="10"/>
        <v>2</v>
      </c>
      <c r="B231" s="59" t="s">
        <v>117</v>
      </c>
      <c r="C231" s="118" t="s">
        <v>118</v>
      </c>
      <c r="D231" s="99">
        <v>75</v>
      </c>
      <c r="E231" s="100">
        <v>4821</v>
      </c>
      <c r="F231" s="100">
        <f>ROUND(D231*E231,0)</f>
        <v>361575</v>
      </c>
      <c r="G231" s="32"/>
    </row>
    <row r="232" spans="1:7" ht="29.25" x14ac:dyDescent="0.25">
      <c r="A232" s="118">
        <f t="shared" si="10"/>
        <v>3</v>
      </c>
      <c r="B232" s="9" t="s">
        <v>156</v>
      </c>
      <c r="C232" s="118" t="s">
        <v>14</v>
      </c>
      <c r="D232" s="99">
        <v>225</v>
      </c>
      <c r="E232" s="100">
        <v>8364</v>
      </c>
      <c r="F232" s="100">
        <f>ROUND(D232*E232,0)</f>
        <v>1881900</v>
      </c>
      <c r="G232" s="32"/>
    </row>
    <row r="233" spans="1:7" ht="43.5" x14ac:dyDescent="0.25">
      <c r="A233" s="118">
        <f t="shared" si="10"/>
        <v>4</v>
      </c>
      <c r="B233" s="9" t="s">
        <v>119</v>
      </c>
      <c r="C233" s="118" t="s">
        <v>118</v>
      </c>
      <c r="D233" s="99">
        <v>150</v>
      </c>
      <c r="E233" s="100">
        <v>12581</v>
      </c>
      <c r="F233" s="100">
        <f>ROUND(D233*E233,0)</f>
        <v>1887150</v>
      </c>
      <c r="G233" s="32"/>
    </row>
    <row r="234" spans="1:7" ht="43.5" x14ac:dyDescent="0.25">
      <c r="A234" s="118">
        <f t="shared" si="10"/>
        <v>5</v>
      </c>
      <c r="B234" s="9" t="s">
        <v>120</v>
      </c>
      <c r="C234" s="118" t="s">
        <v>83</v>
      </c>
      <c r="D234" s="99">
        <v>6</v>
      </c>
      <c r="E234" s="100">
        <v>143626</v>
      </c>
      <c r="F234" s="100">
        <f>ROUND(D234*E234,0)</f>
        <v>861756</v>
      </c>
      <c r="G234" s="32"/>
    </row>
    <row r="235" spans="1:7" x14ac:dyDescent="0.25">
      <c r="A235" s="118">
        <f t="shared" si="10"/>
        <v>6</v>
      </c>
      <c r="B235" s="8" t="s">
        <v>121</v>
      </c>
      <c r="C235" s="118"/>
      <c r="D235" s="99"/>
      <c r="E235" s="100"/>
      <c r="F235" s="100"/>
      <c r="G235" s="32"/>
    </row>
    <row r="236" spans="1:7" x14ac:dyDescent="0.25">
      <c r="A236" s="118">
        <f t="shared" si="10"/>
        <v>7</v>
      </c>
      <c r="B236" s="14" t="s">
        <v>122</v>
      </c>
      <c r="C236" s="118" t="s">
        <v>74</v>
      </c>
      <c r="D236" s="99">
        <v>26.43</v>
      </c>
      <c r="E236" s="100">
        <v>77025</v>
      </c>
      <c r="F236" s="100">
        <f>ROUND(D236*E236,0)</f>
        <v>2035771</v>
      </c>
      <c r="G236" s="32"/>
    </row>
    <row r="237" spans="1:7" ht="29.25" x14ac:dyDescent="0.25">
      <c r="A237" s="118">
        <f t="shared" si="10"/>
        <v>8</v>
      </c>
      <c r="B237" s="9" t="s">
        <v>123</v>
      </c>
      <c r="C237" s="118" t="s">
        <v>74</v>
      </c>
      <c r="D237" s="99">
        <v>1.81</v>
      </c>
      <c r="E237" s="100">
        <v>70250</v>
      </c>
      <c r="F237" s="100">
        <f>ROUND(D237*E237,0)</f>
        <v>127153</v>
      </c>
      <c r="G237" s="32"/>
    </row>
    <row r="238" spans="1:7" ht="43.5" x14ac:dyDescent="0.25">
      <c r="A238" s="118">
        <f t="shared" si="10"/>
        <v>9</v>
      </c>
      <c r="B238" s="9" t="s">
        <v>124</v>
      </c>
      <c r="C238" s="118" t="s">
        <v>74</v>
      </c>
      <c r="D238" s="99">
        <v>34.72</v>
      </c>
      <c r="E238" s="100">
        <v>72560</v>
      </c>
      <c r="F238" s="100">
        <f>ROUND(D238*E238,0)</f>
        <v>2519283</v>
      </c>
      <c r="G238" s="32"/>
    </row>
    <row r="239" spans="1:7" x14ac:dyDescent="0.25">
      <c r="A239" s="118">
        <f t="shared" si="10"/>
        <v>10</v>
      </c>
      <c r="B239" s="96" t="s">
        <v>125</v>
      </c>
      <c r="C239" s="118"/>
      <c r="D239" s="99"/>
      <c r="E239" s="100"/>
      <c r="F239" s="100"/>
      <c r="G239" s="32"/>
    </row>
    <row r="240" spans="1:7" ht="29.25" x14ac:dyDescent="0.25">
      <c r="A240" s="118">
        <f t="shared" si="10"/>
        <v>11</v>
      </c>
      <c r="B240" s="9" t="s">
        <v>127</v>
      </c>
      <c r="C240" s="118" t="s">
        <v>74</v>
      </c>
      <c r="D240" s="99">
        <v>90</v>
      </c>
      <c r="E240" s="100">
        <v>30279</v>
      </c>
      <c r="F240" s="100">
        <f>ROUND(D240*E240,0)</f>
        <v>2725110</v>
      </c>
      <c r="G240" s="32"/>
    </row>
    <row r="241" spans="1:7" x14ac:dyDescent="0.25">
      <c r="A241" s="118">
        <f t="shared" si="10"/>
        <v>12</v>
      </c>
      <c r="B241" s="96" t="s">
        <v>128</v>
      </c>
      <c r="C241" s="118"/>
      <c r="D241" s="99"/>
      <c r="E241" s="100"/>
      <c r="F241" s="100"/>
      <c r="G241" s="32"/>
    </row>
    <row r="242" spans="1:7" ht="29.25" x14ac:dyDescent="0.25">
      <c r="A242" s="118">
        <f t="shared" si="10"/>
        <v>13</v>
      </c>
      <c r="B242" s="9" t="s">
        <v>130</v>
      </c>
      <c r="C242" s="118" t="s">
        <v>74</v>
      </c>
      <c r="D242" s="99">
        <v>305.51</v>
      </c>
      <c r="E242" s="100">
        <v>24331</v>
      </c>
      <c r="F242" s="100">
        <f>ROUND(D242*E242,0)</f>
        <v>7433364</v>
      </c>
      <c r="G242" s="32"/>
    </row>
    <row r="243" spans="1:7" ht="29.25" x14ac:dyDescent="0.25">
      <c r="A243" s="118">
        <f>A242+1</f>
        <v>14</v>
      </c>
      <c r="B243" s="9" t="s">
        <v>157</v>
      </c>
      <c r="C243" s="118" t="s">
        <v>14</v>
      </c>
      <c r="D243" s="99">
        <v>147.55000000000001</v>
      </c>
      <c r="E243" s="100">
        <v>28780</v>
      </c>
      <c r="F243" s="100">
        <f>ROUND(D243*E243,0)</f>
        <v>4246489</v>
      </c>
      <c r="G243" s="32"/>
    </row>
    <row r="244" spans="1:7" x14ac:dyDescent="0.25">
      <c r="A244" s="118">
        <f t="shared" si="10"/>
        <v>15</v>
      </c>
      <c r="B244" s="96" t="s">
        <v>133</v>
      </c>
      <c r="C244" s="118"/>
      <c r="D244" s="99"/>
      <c r="E244" s="100"/>
      <c r="F244" s="100"/>
      <c r="G244" s="32"/>
    </row>
    <row r="245" spans="1:7" ht="29.25" x14ac:dyDescent="0.25">
      <c r="A245" s="118">
        <f t="shared" si="10"/>
        <v>16</v>
      </c>
      <c r="B245" s="9" t="s">
        <v>135</v>
      </c>
      <c r="C245" s="118" t="s">
        <v>74</v>
      </c>
      <c r="D245" s="99">
        <v>180</v>
      </c>
      <c r="E245" s="100">
        <v>20461</v>
      </c>
      <c r="F245" s="100">
        <f>ROUND(D245*E245,0)</f>
        <v>3682980</v>
      </c>
      <c r="G245" s="32"/>
    </row>
    <row r="246" spans="1:7" ht="29.25" x14ac:dyDescent="0.25">
      <c r="A246" s="118">
        <f t="shared" si="10"/>
        <v>17</v>
      </c>
      <c r="B246" s="9" t="s">
        <v>136</v>
      </c>
      <c r="C246" s="118" t="s">
        <v>74</v>
      </c>
      <c r="D246" s="99">
        <v>130.29</v>
      </c>
      <c r="E246" s="100">
        <v>64903</v>
      </c>
      <c r="F246" s="100">
        <f>ROUND(D246*E246,0)</f>
        <v>8456212</v>
      </c>
      <c r="G246" s="32"/>
    </row>
    <row r="247" spans="1:7" ht="30" x14ac:dyDescent="0.25">
      <c r="A247" s="118">
        <f t="shared" si="10"/>
        <v>18</v>
      </c>
      <c r="B247" s="96" t="s">
        <v>137</v>
      </c>
      <c r="C247" s="118"/>
      <c r="D247" s="99"/>
      <c r="E247" s="100"/>
      <c r="F247" s="100"/>
      <c r="G247" s="32"/>
    </row>
    <row r="248" spans="1:7" ht="43.5" x14ac:dyDescent="0.25">
      <c r="A248" s="118">
        <f t="shared" si="10"/>
        <v>19</v>
      </c>
      <c r="B248" s="9" t="s">
        <v>140</v>
      </c>
      <c r="C248" s="118" t="s">
        <v>74</v>
      </c>
      <c r="D248" s="99">
        <v>11.8</v>
      </c>
      <c r="E248" s="100">
        <v>111552</v>
      </c>
      <c r="F248" s="100">
        <f>ROUND(D248*E248,0)</f>
        <v>1316314</v>
      </c>
      <c r="G248" s="32"/>
    </row>
    <row r="249" spans="1:7" x14ac:dyDescent="0.25">
      <c r="A249" s="118">
        <f t="shared" si="10"/>
        <v>20</v>
      </c>
      <c r="B249" s="9" t="s">
        <v>158</v>
      </c>
      <c r="C249" s="118" t="s">
        <v>74</v>
      </c>
      <c r="D249" s="99">
        <v>3.1320000000000001</v>
      </c>
      <c r="E249" s="100">
        <v>133917</v>
      </c>
      <c r="F249" s="100">
        <f>ROUND(D249*E249,0)</f>
        <v>419428</v>
      </c>
      <c r="G249" s="32"/>
    </row>
    <row r="250" spans="1:7" x14ac:dyDescent="0.25">
      <c r="A250" s="118">
        <f t="shared" si="10"/>
        <v>21</v>
      </c>
      <c r="B250" s="13" t="s">
        <v>159</v>
      </c>
      <c r="C250" s="118"/>
      <c r="D250" s="99"/>
      <c r="E250" s="100"/>
      <c r="F250" s="100"/>
      <c r="G250" s="32"/>
    </row>
    <row r="251" spans="1:7" ht="29.25" x14ac:dyDescent="0.25">
      <c r="A251" s="118">
        <f t="shared" si="10"/>
        <v>22</v>
      </c>
      <c r="B251" s="9" t="s">
        <v>160</v>
      </c>
      <c r="C251" s="118" t="s">
        <v>74</v>
      </c>
      <c r="D251" s="99">
        <v>7.12</v>
      </c>
      <c r="E251" s="100">
        <v>559789</v>
      </c>
      <c r="F251" s="100">
        <f>ROUND(D251*E251,0)</f>
        <v>3985698</v>
      </c>
      <c r="G251" s="32"/>
    </row>
    <row r="252" spans="1:7" ht="29.25" x14ac:dyDescent="0.25">
      <c r="A252" s="118">
        <f t="shared" si="10"/>
        <v>23</v>
      </c>
      <c r="B252" s="9" t="s">
        <v>161</v>
      </c>
      <c r="C252" s="118" t="s">
        <v>74</v>
      </c>
      <c r="D252" s="99">
        <v>2.82</v>
      </c>
      <c r="E252" s="100">
        <v>760218</v>
      </c>
      <c r="F252" s="100">
        <f>ROUND(D252*E252,0)</f>
        <v>2143815</v>
      </c>
      <c r="G252" s="32"/>
    </row>
    <row r="253" spans="1:7" x14ac:dyDescent="0.25">
      <c r="A253" s="118">
        <f t="shared" si="10"/>
        <v>24</v>
      </c>
      <c r="B253" s="9" t="s">
        <v>162</v>
      </c>
      <c r="C253" s="118" t="s">
        <v>12</v>
      </c>
      <c r="D253" s="99">
        <v>250</v>
      </c>
      <c r="E253" s="100">
        <v>7054</v>
      </c>
      <c r="F253" s="100">
        <f>ROUND(D253*E253,0)</f>
        <v>1763500</v>
      </c>
      <c r="G253" s="32"/>
    </row>
    <row r="254" spans="1:7" x14ac:dyDescent="0.25">
      <c r="A254" s="118">
        <f t="shared" si="10"/>
        <v>25</v>
      </c>
      <c r="B254" s="96" t="s">
        <v>141</v>
      </c>
      <c r="C254" s="118"/>
      <c r="D254" s="99"/>
      <c r="E254" s="100"/>
      <c r="F254" s="100"/>
      <c r="G254" s="32"/>
    </row>
    <row r="255" spans="1:7" ht="43.5" x14ac:dyDescent="0.25">
      <c r="A255" s="118">
        <f t="shared" si="10"/>
        <v>26</v>
      </c>
      <c r="B255" s="9" t="s">
        <v>171</v>
      </c>
      <c r="C255" s="118" t="s">
        <v>12</v>
      </c>
      <c r="D255" s="99">
        <v>118.6</v>
      </c>
      <c r="E255" s="100">
        <v>12761</v>
      </c>
      <c r="F255" s="100">
        <f t="shared" ref="F255:F262" si="11">ROUND(D255*E255,0)</f>
        <v>1513455</v>
      </c>
      <c r="G255" s="32"/>
    </row>
    <row r="256" spans="1:7" ht="43.5" x14ac:dyDescent="0.25">
      <c r="A256" s="118">
        <f t="shared" si="10"/>
        <v>27</v>
      </c>
      <c r="B256" s="9" t="s">
        <v>248</v>
      </c>
      <c r="C256" s="118" t="s">
        <v>12</v>
      </c>
      <c r="D256" s="99">
        <v>76</v>
      </c>
      <c r="E256" s="100">
        <v>38000</v>
      </c>
      <c r="F256" s="100">
        <f t="shared" si="11"/>
        <v>2888000</v>
      </c>
      <c r="G256" s="32"/>
    </row>
    <row r="257" spans="1:7" ht="29.25" x14ac:dyDescent="0.25">
      <c r="A257" s="118">
        <f t="shared" si="10"/>
        <v>28</v>
      </c>
      <c r="B257" s="9" t="s">
        <v>144</v>
      </c>
      <c r="C257" s="118" t="s">
        <v>83</v>
      </c>
      <c r="D257" s="99">
        <v>4</v>
      </c>
      <c r="E257" s="100">
        <v>83498</v>
      </c>
      <c r="F257" s="100">
        <f t="shared" si="11"/>
        <v>333992</v>
      </c>
      <c r="G257" s="32"/>
    </row>
    <row r="258" spans="1:7" ht="29.25" x14ac:dyDescent="0.25">
      <c r="A258" s="118">
        <f t="shared" si="10"/>
        <v>29</v>
      </c>
      <c r="B258" s="9" t="s">
        <v>145</v>
      </c>
      <c r="C258" s="118" t="s">
        <v>83</v>
      </c>
      <c r="D258" s="99">
        <v>10</v>
      </c>
      <c r="E258" s="100">
        <v>51240</v>
      </c>
      <c r="F258" s="100">
        <f t="shared" si="11"/>
        <v>512400</v>
      </c>
      <c r="G258" s="32"/>
    </row>
    <row r="259" spans="1:7" ht="29.25" x14ac:dyDescent="0.25">
      <c r="A259" s="118">
        <f t="shared" si="10"/>
        <v>30</v>
      </c>
      <c r="B259" s="9" t="s">
        <v>146</v>
      </c>
      <c r="C259" s="123" t="s">
        <v>12</v>
      </c>
      <c r="D259" s="94">
        <v>1.7</v>
      </c>
      <c r="E259" s="95">
        <v>589311</v>
      </c>
      <c r="F259" s="95">
        <f t="shared" si="11"/>
        <v>1001829</v>
      </c>
      <c r="G259" s="32"/>
    </row>
    <row r="260" spans="1:7" ht="29.25" x14ac:dyDescent="0.25">
      <c r="A260" s="118">
        <f t="shared" si="10"/>
        <v>31</v>
      </c>
      <c r="B260" s="9" t="s">
        <v>147</v>
      </c>
      <c r="C260" s="123" t="s">
        <v>83</v>
      </c>
      <c r="D260" s="94">
        <v>2</v>
      </c>
      <c r="E260" s="95">
        <v>499663</v>
      </c>
      <c r="F260" s="95">
        <f t="shared" si="11"/>
        <v>999326</v>
      </c>
      <c r="G260" s="32"/>
    </row>
    <row r="261" spans="1:7" ht="57.75" x14ac:dyDescent="0.25">
      <c r="A261" s="118">
        <f t="shared" si="10"/>
        <v>32</v>
      </c>
      <c r="B261" s="9" t="s">
        <v>163</v>
      </c>
      <c r="C261" s="123" t="s">
        <v>83</v>
      </c>
      <c r="D261" s="94">
        <v>2</v>
      </c>
      <c r="E261" s="95">
        <v>904162</v>
      </c>
      <c r="F261" s="95">
        <f t="shared" si="11"/>
        <v>1808324</v>
      </c>
      <c r="G261" s="32"/>
    </row>
    <row r="262" spans="1:7" ht="29.25" x14ac:dyDescent="0.25">
      <c r="A262" s="118">
        <f t="shared" si="10"/>
        <v>33</v>
      </c>
      <c r="B262" s="9" t="s">
        <v>164</v>
      </c>
      <c r="C262" s="123" t="s">
        <v>17</v>
      </c>
      <c r="D262" s="94">
        <v>15</v>
      </c>
      <c r="E262" s="95">
        <v>369647</v>
      </c>
      <c r="F262" s="95">
        <f t="shared" si="11"/>
        <v>5544705</v>
      </c>
      <c r="G262" s="32"/>
    </row>
    <row r="263" spans="1:7" x14ac:dyDescent="0.25">
      <c r="A263" s="118">
        <f t="shared" si="10"/>
        <v>34</v>
      </c>
      <c r="B263" s="9" t="s">
        <v>249</v>
      </c>
      <c r="C263" s="123" t="s">
        <v>83</v>
      </c>
      <c r="D263" s="94">
        <v>15</v>
      </c>
      <c r="E263" s="95">
        <v>40202</v>
      </c>
      <c r="F263" s="95">
        <f>ROUND(D263*E263,0)</f>
        <v>603030</v>
      </c>
      <c r="G263" s="32"/>
    </row>
    <row r="264" spans="1:7" ht="42.75" x14ac:dyDescent="0.25">
      <c r="A264" s="118">
        <f t="shared" si="10"/>
        <v>35</v>
      </c>
      <c r="B264" s="59" t="s">
        <v>165</v>
      </c>
      <c r="C264" s="123" t="s">
        <v>12</v>
      </c>
      <c r="D264" s="94">
        <v>100</v>
      </c>
      <c r="E264" s="95">
        <v>11194</v>
      </c>
      <c r="F264" s="95">
        <f>ROUND(D264*E264,0)</f>
        <v>1119400</v>
      </c>
      <c r="G264" s="32"/>
    </row>
    <row r="265" spans="1:7" ht="43.5" x14ac:dyDescent="0.25">
      <c r="A265" s="118">
        <f t="shared" si="10"/>
        <v>36</v>
      </c>
      <c r="B265" s="9" t="s">
        <v>166</v>
      </c>
      <c r="C265" s="123" t="s">
        <v>12</v>
      </c>
      <c r="D265" s="94">
        <v>10.6</v>
      </c>
      <c r="E265" s="95">
        <v>34688</v>
      </c>
      <c r="F265" s="95">
        <f>ROUND(D265*E265,0)</f>
        <v>367693</v>
      </c>
      <c r="G265" s="32"/>
    </row>
    <row r="266" spans="1:7" x14ac:dyDescent="0.25">
      <c r="A266" s="116"/>
      <c r="B266" s="13" t="s">
        <v>46</v>
      </c>
      <c r="C266" s="23"/>
      <c r="D266" s="57"/>
      <c r="E266" s="16"/>
      <c r="F266" s="16">
        <f>ROUND((F265+F264+F263+F262+F261+F260+F259+F258+F257+F256+F255+F239+F240+F243+F244+F245+F246+F247+F248+F249+F251+F250+F252+F253+F254+F241+F242+F238+F237+F236+F235+F234+F233+F232+F231),0)</f>
        <v>62539652</v>
      </c>
      <c r="G266" s="32"/>
    </row>
    <row r="267" spans="1:7" x14ac:dyDescent="0.25">
      <c r="A267" s="14"/>
      <c r="B267" s="14" t="s">
        <v>49</v>
      </c>
      <c r="C267" s="14"/>
      <c r="D267" s="14"/>
      <c r="E267" s="14"/>
      <c r="F267" s="17">
        <f>ROUND(F266/1.3495,0)</f>
        <v>46342832</v>
      </c>
      <c r="G267" s="32"/>
    </row>
    <row r="268" spans="1:7" x14ac:dyDescent="0.25">
      <c r="A268" s="14"/>
      <c r="B268" s="14" t="s">
        <v>50</v>
      </c>
      <c r="C268" s="58">
        <v>0.24</v>
      </c>
      <c r="D268" s="14"/>
      <c r="E268" s="14"/>
      <c r="F268" s="17">
        <f>ROUND(F267*C268,0)</f>
        <v>11122280</v>
      </c>
      <c r="G268" s="32"/>
    </row>
    <row r="269" spans="1:7" x14ac:dyDescent="0.25">
      <c r="A269" s="14"/>
      <c r="B269" s="14" t="s">
        <v>47</v>
      </c>
      <c r="C269" s="58">
        <v>0.05</v>
      </c>
      <c r="D269" s="14"/>
      <c r="E269" s="14"/>
      <c r="F269" s="17">
        <f>ROUND(F267*C269,0)</f>
        <v>2317142</v>
      </c>
      <c r="G269" s="32"/>
    </row>
    <row r="270" spans="1:7" x14ac:dyDescent="0.25">
      <c r="A270" s="14"/>
      <c r="B270" s="14" t="s">
        <v>51</v>
      </c>
      <c r="C270" s="58">
        <v>0.05</v>
      </c>
      <c r="D270" s="14"/>
      <c r="E270" s="14"/>
      <c r="F270" s="17">
        <f>ROUND(F267*C270,0)</f>
        <v>2317142</v>
      </c>
      <c r="G270" s="32"/>
    </row>
    <row r="271" spans="1:7" x14ac:dyDescent="0.25">
      <c r="A271" s="14"/>
      <c r="B271" s="59" t="s">
        <v>52</v>
      </c>
      <c r="C271" s="60">
        <v>0.19</v>
      </c>
      <c r="D271" s="51"/>
      <c r="E271" s="51"/>
      <c r="F271" s="21">
        <f>ROUND(F270*19%,0)</f>
        <v>440257</v>
      </c>
      <c r="G271" s="32"/>
    </row>
    <row r="272" spans="1:7" x14ac:dyDescent="0.25">
      <c r="A272" s="14"/>
      <c r="B272" s="13" t="s">
        <v>46</v>
      </c>
      <c r="C272" s="14"/>
      <c r="D272" s="14"/>
      <c r="E272" s="14"/>
      <c r="F272" s="18">
        <f>SUM(F267:F271)</f>
        <v>62539653</v>
      </c>
      <c r="G272" s="32"/>
    </row>
    <row r="273" spans="1:14" x14ac:dyDescent="0.25">
      <c r="A273" s="32"/>
      <c r="B273" s="32"/>
      <c r="C273" s="32"/>
      <c r="D273" s="32"/>
      <c r="E273" s="32"/>
      <c r="F273" s="32"/>
      <c r="G273" s="32"/>
    </row>
    <row r="274" spans="1:14" ht="30" customHeight="1" x14ac:dyDescent="0.25">
      <c r="A274" s="160" t="s">
        <v>270</v>
      </c>
      <c r="B274" s="161"/>
      <c r="C274" s="161"/>
      <c r="D274" s="161"/>
      <c r="E274" s="161"/>
      <c r="F274" s="162"/>
      <c r="G274" s="32"/>
    </row>
    <row r="275" spans="1:14" x14ac:dyDescent="0.25">
      <c r="A275" s="157" t="s">
        <v>4</v>
      </c>
      <c r="B275" s="157" t="s">
        <v>0</v>
      </c>
      <c r="C275" s="157" t="s">
        <v>5</v>
      </c>
      <c r="D275" s="157" t="s">
        <v>6</v>
      </c>
      <c r="E275" s="157"/>
      <c r="F275" s="157"/>
      <c r="G275" s="32"/>
    </row>
    <row r="276" spans="1:14" x14ac:dyDescent="0.25">
      <c r="A276" s="157"/>
      <c r="B276" s="157"/>
      <c r="C276" s="157"/>
      <c r="D276" s="23" t="s">
        <v>7</v>
      </c>
      <c r="E276" s="23" t="s">
        <v>8</v>
      </c>
      <c r="F276" s="23" t="s">
        <v>9</v>
      </c>
      <c r="G276" s="32"/>
    </row>
    <row r="277" spans="1:14" x14ac:dyDescent="0.25">
      <c r="A277" s="118">
        <f t="shared" ref="A277:A291" si="12">A276+1</f>
        <v>1</v>
      </c>
      <c r="B277" s="13" t="s">
        <v>10</v>
      </c>
      <c r="C277" s="157"/>
      <c r="D277" s="157"/>
      <c r="E277" s="157"/>
      <c r="F277" s="15"/>
      <c r="G277" s="32"/>
    </row>
    <row r="278" spans="1:14" ht="29.25" x14ac:dyDescent="0.25">
      <c r="A278" s="118">
        <f t="shared" si="12"/>
        <v>2</v>
      </c>
      <c r="B278" s="12" t="s">
        <v>11</v>
      </c>
      <c r="C278" s="118" t="s">
        <v>12</v>
      </c>
      <c r="D278" s="19">
        <v>828</v>
      </c>
      <c r="E278" s="27">
        <v>4843</v>
      </c>
      <c r="F278" s="95">
        <f t="shared" ref="F278:F289" si="13">ROUND(D278*E278,0)</f>
        <v>4010004</v>
      </c>
      <c r="G278" s="32"/>
      <c r="M278" s="20"/>
      <c r="N278" s="2"/>
    </row>
    <row r="279" spans="1:14" x14ac:dyDescent="0.25">
      <c r="A279" s="118">
        <f t="shared" si="12"/>
        <v>3</v>
      </c>
      <c r="B279" s="101" t="s">
        <v>22</v>
      </c>
      <c r="C279" s="15"/>
      <c r="D279" s="15"/>
      <c r="E279" s="27"/>
      <c r="F279" s="95" t="s">
        <v>1</v>
      </c>
      <c r="G279" s="32"/>
    </row>
    <row r="280" spans="1:14" x14ac:dyDescent="0.25">
      <c r="A280" s="118">
        <f t="shared" si="12"/>
        <v>4</v>
      </c>
      <c r="B280" s="12" t="s">
        <v>23</v>
      </c>
      <c r="C280" s="118" t="s">
        <v>53</v>
      </c>
      <c r="D280" s="19">
        <v>400</v>
      </c>
      <c r="E280" s="27">
        <v>24440</v>
      </c>
      <c r="F280" s="95">
        <f t="shared" si="13"/>
        <v>9776000</v>
      </c>
      <c r="G280" s="32"/>
    </row>
    <row r="281" spans="1:14" x14ac:dyDescent="0.25">
      <c r="A281" s="118">
        <f t="shared" si="12"/>
        <v>5</v>
      </c>
      <c r="B281" s="12" t="s">
        <v>108</v>
      </c>
      <c r="C281" s="118" t="s">
        <v>53</v>
      </c>
      <c r="D281" s="19">
        <v>96</v>
      </c>
      <c r="E281" s="27">
        <v>43000</v>
      </c>
      <c r="F281" s="95">
        <f t="shared" si="13"/>
        <v>4128000</v>
      </c>
      <c r="G281" s="32"/>
    </row>
    <row r="282" spans="1:14" x14ac:dyDescent="0.25">
      <c r="A282" s="118">
        <f t="shared" si="12"/>
        <v>6</v>
      </c>
      <c r="B282" s="12" t="s">
        <v>109</v>
      </c>
      <c r="C282" s="118" t="s">
        <v>53</v>
      </c>
      <c r="D282" s="19">
        <v>96</v>
      </c>
      <c r="E282" s="27">
        <v>22000</v>
      </c>
      <c r="F282" s="95">
        <f t="shared" si="13"/>
        <v>2112000</v>
      </c>
      <c r="G282" s="32"/>
    </row>
    <row r="283" spans="1:14" x14ac:dyDescent="0.25">
      <c r="A283" s="118">
        <f t="shared" si="12"/>
        <v>7</v>
      </c>
      <c r="B283" s="101" t="s">
        <v>63</v>
      </c>
      <c r="C283" s="15"/>
      <c r="D283" s="15"/>
      <c r="E283" s="27"/>
      <c r="F283" s="95" t="s">
        <v>1</v>
      </c>
      <c r="G283" s="32"/>
    </row>
    <row r="284" spans="1:14" ht="57.75" x14ac:dyDescent="0.25">
      <c r="A284" s="118">
        <f t="shared" si="12"/>
        <v>8</v>
      </c>
      <c r="B284" s="12" t="s">
        <v>226</v>
      </c>
      <c r="C284" s="118" t="s">
        <v>12</v>
      </c>
      <c r="D284" s="19">
        <v>828</v>
      </c>
      <c r="E284" s="27">
        <v>62000</v>
      </c>
      <c r="F284" s="95">
        <f t="shared" si="13"/>
        <v>51336000</v>
      </c>
      <c r="G284" s="32"/>
    </row>
    <row r="285" spans="1:14" ht="29.25" x14ac:dyDescent="0.25">
      <c r="A285" s="118">
        <f t="shared" si="12"/>
        <v>9</v>
      </c>
      <c r="B285" s="12" t="s">
        <v>167</v>
      </c>
      <c r="C285" s="118" t="s">
        <v>28</v>
      </c>
      <c r="D285" s="19">
        <v>6</v>
      </c>
      <c r="E285" s="27">
        <v>410000</v>
      </c>
      <c r="F285" s="95">
        <f t="shared" si="13"/>
        <v>2460000</v>
      </c>
      <c r="G285" s="32"/>
    </row>
    <row r="286" spans="1:14" ht="43.5" x14ac:dyDescent="0.25">
      <c r="A286" s="118">
        <f t="shared" si="12"/>
        <v>10</v>
      </c>
      <c r="B286" s="12" t="s">
        <v>227</v>
      </c>
      <c r="C286" s="118" t="s">
        <v>28</v>
      </c>
      <c r="D286" s="19">
        <v>6</v>
      </c>
      <c r="E286" s="27">
        <v>390000</v>
      </c>
      <c r="F286" s="95">
        <f t="shared" si="13"/>
        <v>2340000</v>
      </c>
      <c r="G286" s="32"/>
    </row>
    <row r="287" spans="1:14" ht="43.5" x14ac:dyDescent="0.25">
      <c r="A287" s="118">
        <f t="shared" si="12"/>
        <v>11</v>
      </c>
      <c r="B287" s="12" t="s">
        <v>168</v>
      </c>
      <c r="C287" s="118" t="s">
        <v>28</v>
      </c>
      <c r="D287" s="19">
        <v>6</v>
      </c>
      <c r="E287" s="27">
        <v>465000</v>
      </c>
      <c r="F287" s="95">
        <f t="shared" si="13"/>
        <v>2790000</v>
      </c>
      <c r="G287" s="32"/>
    </row>
    <row r="288" spans="1:14" x14ac:dyDescent="0.25">
      <c r="A288" s="118">
        <f t="shared" si="12"/>
        <v>12</v>
      </c>
      <c r="B288" s="13" t="s">
        <v>33</v>
      </c>
      <c r="C288" s="15"/>
      <c r="D288" s="15"/>
      <c r="E288" s="27"/>
      <c r="F288" s="95">
        <f t="shared" si="13"/>
        <v>0</v>
      </c>
      <c r="G288" s="32"/>
    </row>
    <row r="289" spans="1:15" ht="29.25" x14ac:dyDescent="0.25">
      <c r="A289" s="118">
        <f t="shared" si="12"/>
        <v>13</v>
      </c>
      <c r="B289" s="12" t="s">
        <v>35</v>
      </c>
      <c r="C289" s="118" t="s">
        <v>53</v>
      </c>
      <c r="D289" s="19">
        <v>400</v>
      </c>
      <c r="E289" s="27">
        <v>20553</v>
      </c>
      <c r="F289" s="95">
        <f t="shared" si="13"/>
        <v>8221200</v>
      </c>
      <c r="G289" s="32"/>
    </row>
    <row r="290" spans="1:15" ht="42.75" x14ac:dyDescent="0.25">
      <c r="A290" s="118">
        <f t="shared" si="12"/>
        <v>14</v>
      </c>
      <c r="B290" s="7" t="s">
        <v>221</v>
      </c>
      <c r="C290" s="118" t="s">
        <v>45</v>
      </c>
      <c r="D290" s="19">
        <v>4</v>
      </c>
      <c r="E290" s="28">
        <f>1673138</f>
        <v>1673138</v>
      </c>
      <c r="F290" s="100">
        <f t="shared" ref="F290:F291" si="14">D290*E290</f>
        <v>6692552</v>
      </c>
      <c r="G290" s="32"/>
    </row>
    <row r="291" spans="1:15" ht="29.25" x14ac:dyDescent="0.25">
      <c r="A291" s="118">
        <f t="shared" si="12"/>
        <v>15</v>
      </c>
      <c r="B291" s="12" t="s">
        <v>220</v>
      </c>
      <c r="C291" s="118" t="s">
        <v>17</v>
      </c>
      <c r="D291" s="19">
        <v>1</v>
      </c>
      <c r="E291" s="27">
        <v>788768</v>
      </c>
      <c r="F291" s="100">
        <f t="shared" si="14"/>
        <v>788768</v>
      </c>
      <c r="G291" s="32"/>
    </row>
    <row r="292" spans="1:15" x14ac:dyDescent="0.25">
      <c r="A292" s="116"/>
      <c r="B292" s="13" t="s">
        <v>46</v>
      </c>
      <c r="C292" s="23"/>
      <c r="D292" s="57"/>
      <c r="E292" s="16"/>
      <c r="F292" s="16">
        <f>ROUND(F278+F280+F281+F282+F284+F285+F286+F287+F289+F290+F291,0)</f>
        <v>94654524</v>
      </c>
      <c r="G292" s="32"/>
      <c r="L292" s="20"/>
    </row>
    <row r="293" spans="1:15" x14ac:dyDescent="0.25">
      <c r="A293" s="14"/>
      <c r="B293" s="14" t="s">
        <v>49</v>
      </c>
      <c r="C293" s="14"/>
      <c r="D293" s="14"/>
      <c r="E293" s="14"/>
      <c r="F293" s="17">
        <f>ROUND(F292/1.3495,0)</f>
        <v>70140440</v>
      </c>
      <c r="G293" s="32"/>
    </row>
    <row r="294" spans="1:15" x14ac:dyDescent="0.25">
      <c r="A294" s="14"/>
      <c r="B294" s="14" t="s">
        <v>50</v>
      </c>
      <c r="C294" s="58">
        <v>0.24</v>
      </c>
      <c r="D294" s="14"/>
      <c r="E294" s="14"/>
      <c r="F294" s="17">
        <f>ROUND(F293*C294,0)</f>
        <v>16833706</v>
      </c>
      <c r="G294" s="32"/>
    </row>
    <row r="295" spans="1:15" x14ac:dyDescent="0.25">
      <c r="A295" s="14"/>
      <c r="B295" s="14" t="s">
        <v>47</v>
      </c>
      <c r="C295" s="58">
        <v>0.05</v>
      </c>
      <c r="D295" s="14"/>
      <c r="E295" s="14"/>
      <c r="F295" s="17">
        <f>ROUND(F293*C295,0)</f>
        <v>3507022</v>
      </c>
      <c r="G295" s="32"/>
    </row>
    <row r="296" spans="1:15" x14ac:dyDescent="0.25">
      <c r="A296" s="14"/>
      <c r="B296" s="14" t="s">
        <v>51</v>
      </c>
      <c r="C296" s="58">
        <v>0.05</v>
      </c>
      <c r="D296" s="14"/>
      <c r="E296" s="14"/>
      <c r="F296" s="17">
        <f>ROUND(F293*C296,0)</f>
        <v>3507022</v>
      </c>
      <c r="G296" s="32"/>
    </row>
    <row r="297" spans="1:15" x14ac:dyDescent="0.25">
      <c r="A297" s="14"/>
      <c r="B297" s="59" t="s">
        <v>52</v>
      </c>
      <c r="C297" s="60">
        <v>0.19</v>
      </c>
      <c r="D297" s="51"/>
      <c r="E297" s="51"/>
      <c r="F297" s="21">
        <f>ROUND(F296*19%,0)</f>
        <v>666334</v>
      </c>
      <c r="G297" s="32"/>
    </row>
    <row r="298" spans="1:15" x14ac:dyDescent="0.25">
      <c r="A298" s="14"/>
      <c r="B298" s="13" t="s">
        <v>46</v>
      </c>
      <c r="C298" s="14"/>
      <c r="D298" s="14"/>
      <c r="E298" s="14"/>
      <c r="F298" s="18">
        <f>SUM(F293:F297)</f>
        <v>94654524</v>
      </c>
      <c r="G298" s="32"/>
    </row>
    <row r="299" spans="1:15" x14ac:dyDescent="0.25">
      <c r="A299" s="32"/>
      <c r="B299" s="32"/>
      <c r="C299" s="32"/>
      <c r="D299" s="32"/>
      <c r="E299" s="32"/>
      <c r="F299" s="32"/>
      <c r="G299" s="32"/>
    </row>
    <row r="300" spans="1:15" x14ac:dyDescent="0.25">
      <c r="A300" s="32"/>
      <c r="B300" s="32"/>
      <c r="C300" s="32"/>
      <c r="D300" s="32"/>
      <c r="E300" s="32"/>
      <c r="F300" s="32"/>
      <c r="G300" s="32"/>
    </row>
    <row r="301" spans="1:15" ht="18" x14ac:dyDescent="0.25">
      <c r="A301" s="32"/>
      <c r="B301" s="127" t="s">
        <v>170</v>
      </c>
      <c r="C301" s="32"/>
      <c r="D301" s="32"/>
      <c r="E301" s="32"/>
      <c r="F301" s="62">
        <f>F292+F266+F219+F177+F136+F101</f>
        <v>405342297</v>
      </c>
      <c r="G301" s="98" t="s">
        <v>1</v>
      </c>
      <c r="H301" s="63"/>
      <c r="I301" s="65"/>
      <c r="J301" s="63"/>
      <c r="K301" s="64"/>
      <c r="L301" s="63"/>
      <c r="M301" s="63"/>
      <c r="O301" s="2" t="s">
        <v>1</v>
      </c>
    </row>
    <row r="302" spans="1:15" x14ac:dyDescent="0.25">
      <c r="A302" s="32"/>
      <c r="B302" s="32"/>
      <c r="C302" s="32"/>
      <c r="D302" s="32"/>
      <c r="E302" s="32"/>
      <c r="F302" s="32"/>
      <c r="G302" s="32"/>
      <c r="H302" s="1"/>
    </row>
    <row r="303" spans="1:15" x14ac:dyDescent="0.25">
      <c r="A303" s="32"/>
      <c r="B303" s="32"/>
      <c r="C303" s="32"/>
      <c r="D303" s="32"/>
      <c r="E303" s="32"/>
      <c r="F303" s="32"/>
      <c r="G303" s="32"/>
      <c r="H303" s="20"/>
      <c r="J303" s="20"/>
    </row>
    <row r="304" spans="1:15" x14ac:dyDescent="0.25">
      <c r="A304" s="159" t="s">
        <v>48</v>
      </c>
      <c r="B304" s="159"/>
      <c r="C304" s="128"/>
      <c r="D304" s="32"/>
      <c r="E304" s="32"/>
      <c r="F304" s="32"/>
      <c r="G304" s="32"/>
    </row>
    <row r="305" spans="1:7" x14ac:dyDescent="0.25">
      <c r="A305" s="32"/>
      <c r="B305" s="32"/>
      <c r="C305" s="32"/>
      <c r="D305" s="32"/>
      <c r="E305" s="32"/>
      <c r="F305" s="32"/>
      <c r="G305" s="32"/>
    </row>
    <row r="306" spans="1:7" ht="47.25" customHeight="1" x14ac:dyDescent="0.25">
      <c r="A306" s="181" t="s">
        <v>269</v>
      </c>
      <c r="B306" s="181"/>
      <c r="C306" s="181"/>
      <c r="D306" s="181"/>
      <c r="E306" s="181"/>
      <c r="F306" s="181"/>
      <c r="G306" s="32"/>
    </row>
    <row r="307" spans="1:7" x14ac:dyDescent="0.25">
      <c r="A307" s="182" t="s">
        <v>4</v>
      </c>
      <c r="B307" s="182" t="s">
        <v>0</v>
      </c>
      <c r="C307" s="54" t="s">
        <v>5</v>
      </c>
      <c r="D307" s="183" t="s">
        <v>6</v>
      </c>
      <c r="E307" s="184"/>
      <c r="F307" s="185"/>
      <c r="G307" s="32"/>
    </row>
    <row r="308" spans="1:7" x14ac:dyDescent="0.25">
      <c r="A308" s="182"/>
      <c r="B308" s="182"/>
      <c r="C308" s="54"/>
      <c r="D308" s="54" t="s">
        <v>7</v>
      </c>
      <c r="E308" s="54" t="s">
        <v>8</v>
      </c>
      <c r="F308" s="54" t="s">
        <v>9</v>
      </c>
      <c r="G308" s="32"/>
    </row>
    <row r="309" spans="1:7" x14ac:dyDescent="0.25">
      <c r="A309" s="118">
        <f t="shared" ref="A309:A344" si="15">A308+1</f>
        <v>1</v>
      </c>
      <c r="B309" s="129" t="s">
        <v>10</v>
      </c>
      <c r="C309" s="54"/>
      <c r="D309" s="54"/>
      <c r="E309" s="54"/>
      <c r="F309" s="130"/>
      <c r="G309" s="32"/>
    </row>
    <row r="310" spans="1:7" x14ac:dyDescent="0.25">
      <c r="A310" s="118">
        <f t="shared" si="15"/>
        <v>2</v>
      </c>
      <c r="B310" s="131" t="s">
        <v>58</v>
      </c>
      <c r="C310" s="53" t="s">
        <v>12</v>
      </c>
      <c r="D310" s="53">
        <v>76</v>
      </c>
      <c r="E310" s="132">
        <v>4800</v>
      </c>
      <c r="F310" s="132">
        <f>+ROUND(E310*D310,0)</f>
        <v>364800</v>
      </c>
      <c r="G310" s="32"/>
    </row>
    <row r="311" spans="1:7" ht="28.5" x14ac:dyDescent="0.25">
      <c r="A311" s="118">
        <f t="shared" si="15"/>
        <v>3</v>
      </c>
      <c r="B311" s="131" t="s">
        <v>183</v>
      </c>
      <c r="C311" s="53" t="s">
        <v>12</v>
      </c>
      <c r="D311" s="53">
        <v>180</v>
      </c>
      <c r="E311" s="132">
        <v>9600</v>
      </c>
      <c r="F311" s="132">
        <f t="shared" ref="F311:F343" si="16">+ROUND(E311*D311,0)</f>
        <v>1728000</v>
      </c>
      <c r="G311" s="32"/>
    </row>
    <row r="312" spans="1:7" ht="42.75" x14ac:dyDescent="0.25">
      <c r="A312" s="118">
        <f t="shared" si="15"/>
        <v>4</v>
      </c>
      <c r="B312" s="133" t="s">
        <v>184</v>
      </c>
      <c r="C312" s="53" t="s">
        <v>78</v>
      </c>
      <c r="D312" s="53">
        <v>3</v>
      </c>
      <c r="E312" s="132">
        <v>166347</v>
      </c>
      <c r="F312" s="132">
        <f t="shared" si="16"/>
        <v>499041</v>
      </c>
      <c r="G312" s="32"/>
    </row>
    <row r="313" spans="1:7" ht="28.5" x14ac:dyDescent="0.25">
      <c r="A313" s="118">
        <f t="shared" si="15"/>
        <v>5</v>
      </c>
      <c r="B313" s="133" t="s">
        <v>185</v>
      </c>
      <c r="C313" s="53" t="s">
        <v>78</v>
      </c>
      <c r="D313" s="53">
        <v>1</v>
      </c>
      <c r="E313" s="132">
        <v>686184</v>
      </c>
      <c r="F313" s="132">
        <f t="shared" si="16"/>
        <v>686184</v>
      </c>
      <c r="G313" s="32"/>
    </row>
    <row r="314" spans="1:7" x14ac:dyDescent="0.25">
      <c r="A314" s="118">
        <f t="shared" si="15"/>
        <v>6</v>
      </c>
      <c r="B314" s="129" t="s">
        <v>186</v>
      </c>
      <c r="C314" s="130"/>
      <c r="D314" s="54"/>
      <c r="E314" s="132"/>
      <c r="F314" s="132">
        <f t="shared" si="16"/>
        <v>0</v>
      </c>
      <c r="G314" s="32"/>
    </row>
    <row r="315" spans="1:7" ht="49.5" customHeight="1" x14ac:dyDescent="0.25">
      <c r="A315" s="118">
        <f t="shared" si="15"/>
        <v>7</v>
      </c>
      <c r="B315" s="134" t="s">
        <v>187</v>
      </c>
      <c r="C315" s="53" t="s">
        <v>12</v>
      </c>
      <c r="D315" s="53">
        <v>130.4</v>
      </c>
      <c r="E315" s="132">
        <v>6447</v>
      </c>
      <c r="F315" s="132">
        <f t="shared" si="16"/>
        <v>840689</v>
      </c>
      <c r="G315" s="32"/>
    </row>
    <row r="316" spans="1:7" ht="57" x14ac:dyDescent="0.25">
      <c r="A316" s="118">
        <f t="shared" si="15"/>
        <v>8</v>
      </c>
      <c r="B316" s="134" t="s">
        <v>188</v>
      </c>
      <c r="C316" s="53" t="s">
        <v>74</v>
      </c>
      <c r="D316" s="53">
        <v>46.72</v>
      </c>
      <c r="E316" s="132">
        <v>85500</v>
      </c>
      <c r="F316" s="132">
        <f t="shared" si="16"/>
        <v>3994560</v>
      </c>
      <c r="G316" s="32"/>
    </row>
    <row r="317" spans="1:7" x14ac:dyDescent="0.25">
      <c r="A317" s="118">
        <f t="shared" si="15"/>
        <v>9</v>
      </c>
      <c r="B317" s="135" t="s">
        <v>22</v>
      </c>
      <c r="C317" s="130"/>
      <c r="D317" s="54"/>
      <c r="E317" s="132"/>
      <c r="F317" s="132" t="s">
        <v>1</v>
      </c>
      <c r="G317" s="32"/>
    </row>
    <row r="318" spans="1:7" x14ac:dyDescent="0.25">
      <c r="A318" s="118">
        <f t="shared" si="15"/>
        <v>10</v>
      </c>
      <c r="B318" s="11" t="s">
        <v>23</v>
      </c>
      <c r="C318" s="53" t="s">
        <v>57</v>
      </c>
      <c r="D318" s="53">
        <f>76*0.9*1.7</f>
        <v>116.28</v>
      </c>
      <c r="E318" s="132">
        <v>24400</v>
      </c>
      <c r="F318" s="132">
        <f t="shared" si="16"/>
        <v>2837232</v>
      </c>
      <c r="G318" s="32"/>
    </row>
    <row r="319" spans="1:7" ht="44.25" customHeight="1" x14ac:dyDescent="0.25">
      <c r="A319" s="118">
        <f t="shared" si="15"/>
        <v>11</v>
      </c>
      <c r="B319" s="11" t="s">
        <v>189</v>
      </c>
      <c r="C319" s="53" t="s">
        <v>57</v>
      </c>
      <c r="D319" s="53">
        <f>76*0.3*0.9</f>
        <v>20.52</v>
      </c>
      <c r="E319" s="132">
        <v>30722</v>
      </c>
      <c r="F319" s="132">
        <f t="shared" si="16"/>
        <v>630415</v>
      </c>
      <c r="G319" s="32"/>
    </row>
    <row r="320" spans="1:7" ht="28.5" x14ac:dyDescent="0.25">
      <c r="A320" s="118">
        <f t="shared" si="15"/>
        <v>12</v>
      </c>
      <c r="B320" s="11" t="s">
        <v>102</v>
      </c>
      <c r="C320" s="53" t="s">
        <v>57</v>
      </c>
      <c r="D320" s="53">
        <f>+D319+D318+D316</f>
        <v>183.52</v>
      </c>
      <c r="E320" s="132">
        <f>29620*1.07</f>
        <v>31693.4</v>
      </c>
      <c r="F320" s="132">
        <f t="shared" si="16"/>
        <v>5816373</v>
      </c>
      <c r="G320" s="32"/>
    </row>
    <row r="321" spans="1:7" ht="30" x14ac:dyDescent="0.25">
      <c r="A321" s="118">
        <f t="shared" si="15"/>
        <v>13</v>
      </c>
      <c r="B321" s="135" t="s">
        <v>190</v>
      </c>
      <c r="C321" s="136"/>
      <c r="D321" s="55"/>
      <c r="E321" s="137"/>
      <c r="F321" s="137" t="s">
        <v>1</v>
      </c>
      <c r="G321" s="32"/>
    </row>
    <row r="322" spans="1:7" x14ac:dyDescent="0.25">
      <c r="A322" s="118">
        <f t="shared" si="15"/>
        <v>14</v>
      </c>
      <c r="B322" s="11" t="s">
        <v>191</v>
      </c>
      <c r="C322" s="56" t="s">
        <v>12</v>
      </c>
      <c r="D322" s="56">
        <v>78</v>
      </c>
      <c r="E322" s="137">
        <v>38560</v>
      </c>
      <c r="F322" s="137">
        <f t="shared" si="16"/>
        <v>3007680</v>
      </c>
      <c r="G322" s="32"/>
    </row>
    <row r="323" spans="1:7" x14ac:dyDescent="0.25">
      <c r="A323" s="118">
        <f t="shared" si="15"/>
        <v>15</v>
      </c>
      <c r="B323" s="11" t="s">
        <v>107</v>
      </c>
      <c r="C323" s="53" t="s">
        <v>12</v>
      </c>
      <c r="D323" s="53">
        <f>17*5</f>
        <v>85</v>
      </c>
      <c r="E323" s="132">
        <v>12500</v>
      </c>
      <c r="F323" s="132">
        <f t="shared" si="16"/>
        <v>1062500</v>
      </c>
      <c r="G323" s="32"/>
    </row>
    <row r="324" spans="1:7" ht="28.5" x14ac:dyDescent="0.25">
      <c r="A324" s="118">
        <f t="shared" si="15"/>
        <v>16</v>
      </c>
      <c r="B324" s="11" t="s">
        <v>192</v>
      </c>
      <c r="C324" s="53" t="s">
        <v>78</v>
      </c>
      <c r="D324" s="53">
        <v>17</v>
      </c>
      <c r="E324" s="132">
        <v>46500</v>
      </c>
      <c r="F324" s="132">
        <f t="shared" si="16"/>
        <v>790500</v>
      </c>
      <c r="G324" s="32"/>
    </row>
    <row r="325" spans="1:7" ht="42.75" x14ac:dyDescent="0.25">
      <c r="A325" s="118">
        <f t="shared" si="15"/>
        <v>17</v>
      </c>
      <c r="B325" s="11" t="s">
        <v>31</v>
      </c>
      <c r="C325" s="53" t="s">
        <v>78</v>
      </c>
      <c r="D325" s="53">
        <v>17</v>
      </c>
      <c r="E325" s="132">
        <v>293500</v>
      </c>
      <c r="F325" s="132">
        <f t="shared" si="16"/>
        <v>4989500</v>
      </c>
      <c r="G325" s="32"/>
    </row>
    <row r="326" spans="1:7" x14ac:dyDescent="0.25">
      <c r="A326" s="118">
        <f t="shared" si="15"/>
        <v>18</v>
      </c>
      <c r="B326" s="11" t="s">
        <v>29</v>
      </c>
      <c r="C326" s="53" t="s">
        <v>78</v>
      </c>
      <c r="D326" s="53">
        <v>2</v>
      </c>
      <c r="E326" s="132">
        <v>356000</v>
      </c>
      <c r="F326" s="132">
        <f t="shared" si="16"/>
        <v>712000</v>
      </c>
      <c r="G326" s="32"/>
    </row>
    <row r="327" spans="1:7" ht="57" x14ac:dyDescent="0.25">
      <c r="A327" s="118">
        <f t="shared" si="15"/>
        <v>19</v>
      </c>
      <c r="B327" s="11" t="s">
        <v>27</v>
      </c>
      <c r="C327" s="53" t="s">
        <v>12</v>
      </c>
      <c r="D327" s="53">
        <v>5</v>
      </c>
      <c r="E327" s="132">
        <v>418500</v>
      </c>
      <c r="F327" s="132">
        <f t="shared" si="16"/>
        <v>2092500</v>
      </c>
      <c r="G327" s="32"/>
    </row>
    <row r="328" spans="1:7" ht="42.75" x14ac:dyDescent="0.25">
      <c r="A328" s="118">
        <f t="shared" si="15"/>
        <v>20</v>
      </c>
      <c r="B328" s="11" t="s">
        <v>193</v>
      </c>
      <c r="C328" s="53" t="s">
        <v>78</v>
      </c>
      <c r="D328" s="53">
        <v>2</v>
      </c>
      <c r="E328" s="132">
        <v>658000</v>
      </c>
      <c r="F328" s="132">
        <f t="shared" si="16"/>
        <v>1316000</v>
      </c>
      <c r="G328" s="32"/>
    </row>
    <row r="329" spans="1:7" x14ac:dyDescent="0.25">
      <c r="A329" s="118">
        <f t="shared" si="15"/>
        <v>21</v>
      </c>
      <c r="B329" s="131" t="s">
        <v>194</v>
      </c>
      <c r="C329" s="53" t="s">
        <v>78</v>
      </c>
      <c r="D329" s="53">
        <v>2</v>
      </c>
      <c r="E329" s="132">
        <v>82134</v>
      </c>
      <c r="F329" s="132">
        <f t="shared" si="16"/>
        <v>164268</v>
      </c>
      <c r="G329" s="32"/>
    </row>
    <row r="330" spans="1:7" x14ac:dyDescent="0.25">
      <c r="A330" s="118">
        <f t="shared" si="15"/>
        <v>22</v>
      </c>
      <c r="B330" s="129" t="s">
        <v>33</v>
      </c>
      <c r="C330" s="130"/>
      <c r="D330" s="54"/>
      <c r="E330" s="132"/>
      <c r="F330" s="132" t="s">
        <v>1</v>
      </c>
      <c r="G330" s="32"/>
    </row>
    <row r="331" spans="1:7" x14ac:dyDescent="0.25">
      <c r="A331" s="118">
        <f t="shared" si="15"/>
        <v>23</v>
      </c>
      <c r="B331" s="131" t="s">
        <v>34</v>
      </c>
      <c r="C331" s="53" t="s">
        <v>74</v>
      </c>
      <c r="D331" s="53">
        <v>13</v>
      </c>
      <c r="E331" s="132">
        <v>112000</v>
      </c>
      <c r="F331" s="132">
        <f t="shared" si="16"/>
        <v>1456000</v>
      </c>
      <c r="G331" s="32"/>
    </row>
    <row r="332" spans="1:7" x14ac:dyDescent="0.25">
      <c r="A332" s="118">
        <f t="shared" si="15"/>
        <v>24</v>
      </c>
      <c r="B332" s="131" t="s">
        <v>195</v>
      </c>
      <c r="C332" s="53" t="s">
        <v>74</v>
      </c>
      <c r="D332" s="53">
        <v>116.28</v>
      </c>
      <c r="E332" s="132">
        <v>23500</v>
      </c>
      <c r="F332" s="132">
        <f t="shared" si="16"/>
        <v>2732580</v>
      </c>
      <c r="G332" s="32"/>
    </row>
    <row r="333" spans="1:7" x14ac:dyDescent="0.25">
      <c r="A333" s="118">
        <f t="shared" si="15"/>
        <v>25</v>
      </c>
      <c r="B333" s="131" t="s">
        <v>196</v>
      </c>
      <c r="C333" s="53" t="s">
        <v>74</v>
      </c>
      <c r="D333" s="53">
        <v>80</v>
      </c>
      <c r="E333" s="132">
        <v>38841</v>
      </c>
      <c r="F333" s="132">
        <f t="shared" si="16"/>
        <v>3107280</v>
      </c>
      <c r="G333" s="32"/>
    </row>
    <row r="334" spans="1:7" ht="28.5" x14ac:dyDescent="0.25">
      <c r="A334" s="118">
        <f t="shared" si="15"/>
        <v>26</v>
      </c>
      <c r="B334" s="131" t="s">
        <v>197</v>
      </c>
      <c r="C334" s="53" t="s">
        <v>74</v>
      </c>
      <c r="D334" s="53">
        <f>3.2*0.2*76</f>
        <v>48.640000000000008</v>
      </c>
      <c r="E334" s="132">
        <v>139500</v>
      </c>
      <c r="F334" s="132">
        <f t="shared" si="16"/>
        <v>6785280</v>
      </c>
      <c r="G334" s="32"/>
    </row>
    <row r="335" spans="1:7" x14ac:dyDescent="0.25">
      <c r="A335" s="118">
        <f t="shared" si="15"/>
        <v>27</v>
      </c>
      <c r="B335" s="129" t="s">
        <v>38</v>
      </c>
      <c r="C335" s="130"/>
      <c r="D335" s="54"/>
      <c r="E335" s="132"/>
      <c r="F335" s="132" t="s">
        <v>1</v>
      </c>
      <c r="G335" s="32"/>
    </row>
    <row r="336" spans="1:7" ht="28.5" x14ac:dyDescent="0.25">
      <c r="A336" s="118">
        <f t="shared" si="15"/>
        <v>28</v>
      </c>
      <c r="B336" s="131" t="s">
        <v>198</v>
      </c>
      <c r="C336" s="53" t="s">
        <v>74</v>
      </c>
      <c r="D336" s="53">
        <f>73*3.2*0.2</f>
        <v>46.720000000000006</v>
      </c>
      <c r="E336" s="132">
        <v>761500</v>
      </c>
      <c r="F336" s="132">
        <f t="shared" si="16"/>
        <v>35577280</v>
      </c>
      <c r="G336" s="32"/>
    </row>
    <row r="337" spans="1:7" ht="42.75" x14ac:dyDescent="0.25">
      <c r="A337" s="118">
        <f t="shared" si="15"/>
        <v>29</v>
      </c>
      <c r="B337" s="131" t="s">
        <v>199</v>
      </c>
      <c r="C337" s="53" t="s">
        <v>74</v>
      </c>
      <c r="D337" s="53">
        <v>1</v>
      </c>
      <c r="E337" s="132">
        <v>565000</v>
      </c>
      <c r="F337" s="132">
        <f t="shared" si="16"/>
        <v>565000</v>
      </c>
      <c r="G337" s="32"/>
    </row>
    <row r="338" spans="1:7" ht="42.75" x14ac:dyDescent="0.25">
      <c r="A338" s="118">
        <f t="shared" si="15"/>
        <v>30</v>
      </c>
      <c r="B338" s="131" t="s">
        <v>200</v>
      </c>
      <c r="C338" s="53" t="s">
        <v>74</v>
      </c>
      <c r="D338" s="53">
        <v>5</v>
      </c>
      <c r="E338" s="132">
        <v>1250000</v>
      </c>
      <c r="F338" s="132">
        <f t="shared" si="16"/>
        <v>6250000</v>
      </c>
      <c r="G338" s="32"/>
    </row>
    <row r="339" spans="1:7" ht="28.5" x14ac:dyDescent="0.25">
      <c r="A339" s="118">
        <f t="shared" si="15"/>
        <v>31</v>
      </c>
      <c r="B339" s="131" t="s">
        <v>201</v>
      </c>
      <c r="C339" s="53" t="s">
        <v>12</v>
      </c>
      <c r="D339" s="53">
        <v>70</v>
      </c>
      <c r="E339" s="132">
        <v>56500</v>
      </c>
      <c r="F339" s="132">
        <f t="shared" si="16"/>
        <v>3955000</v>
      </c>
      <c r="G339" s="32"/>
    </row>
    <row r="340" spans="1:7" x14ac:dyDescent="0.25">
      <c r="A340" s="118">
        <f t="shared" si="15"/>
        <v>32</v>
      </c>
      <c r="B340" s="129" t="s">
        <v>202</v>
      </c>
      <c r="C340" s="130"/>
      <c r="D340" s="54"/>
      <c r="E340" s="132"/>
      <c r="F340" s="132">
        <f t="shared" si="16"/>
        <v>0</v>
      </c>
      <c r="G340" s="32"/>
    </row>
    <row r="341" spans="1:7" ht="28.5" x14ac:dyDescent="0.25">
      <c r="A341" s="118">
        <f t="shared" si="15"/>
        <v>33</v>
      </c>
      <c r="B341" s="131" t="s">
        <v>203</v>
      </c>
      <c r="C341" s="53" t="s">
        <v>94</v>
      </c>
      <c r="D341" s="53">
        <v>270</v>
      </c>
      <c r="E341" s="132">
        <v>5500</v>
      </c>
      <c r="F341" s="132">
        <f t="shared" si="16"/>
        <v>1485000</v>
      </c>
      <c r="G341" s="32"/>
    </row>
    <row r="342" spans="1:7" ht="28.5" x14ac:dyDescent="0.25">
      <c r="A342" s="118">
        <f t="shared" si="15"/>
        <v>34</v>
      </c>
      <c r="B342" s="131" t="s">
        <v>204</v>
      </c>
      <c r="C342" s="53" t="s">
        <v>14</v>
      </c>
      <c r="D342" s="53">
        <v>30</v>
      </c>
      <c r="E342" s="132">
        <v>12500</v>
      </c>
      <c r="F342" s="132">
        <f t="shared" si="16"/>
        <v>375000</v>
      </c>
      <c r="G342" s="32"/>
    </row>
    <row r="343" spans="1:7" ht="99.75" x14ac:dyDescent="0.25">
      <c r="A343" s="118">
        <f t="shared" si="15"/>
        <v>35</v>
      </c>
      <c r="B343" s="131" t="s">
        <v>205</v>
      </c>
      <c r="C343" s="53" t="s">
        <v>12</v>
      </c>
      <c r="D343" s="53">
        <v>20</v>
      </c>
      <c r="E343" s="132">
        <v>245000</v>
      </c>
      <c r="F343" s="132">
        <f t="shared" si="16"/>
        <v>4900000</v>
      </c>
      <c r="G343" s="32"/>
    </row>
    <row r="344" spans="1:7" ht="42.75" x14ac:dyDescent="0.25">
      <c r="A344" s="118">
        <f t="shared" si="15"/>
        <v>36</v>
      </c>
      <c r="B344" s="7" t="s">
        <v>221</v>
      </c>
      <c r="C344" s="118" t="s">
        <v>45</v>
      </c>
      <c r="D344" s="19">
        <v>1</v>
      </c>
      <c r="E344" s="28">
        <f>1673138</f>
        <v>1673138</v>
      </c>
      <c r="F344" s="67">
        <f t="shared" ref="F344" si="17">D344*E344</f>
        <v>1673138</v>
      </c>
      <c r="G344" s="32"/>
    </row>
    <row r="345" spans="1:7" x14ac:dyDescent="0.25">
      <c r="A345" s="116"/>
      <c r="B345" s="13" t="s">
        <v>46</v>
      </c>
      <c r="C345" s="23"/>
      <c r="D345" s="57"/>
      <c r="E345" s="16"/>
      <c r="F345" s="30">
        <f>ROUND(F343+F342+F341+F339+F338+F337+F336+F334+F333+F332+F331+F329+F328+F327+F326+F325+F324+F323+F322+F320+F319+F318+F316+F315+F313+F312+F311+F310+F344,0)</f>
        <v>100393800</v>
      </c>
      <c r="G345" s="32"/>
    </row>
    <row r="346" spans="1:7" x14ac:dyDescent="0.25">
      <c r="A346" s="14"/>
      <c r="B346" s="14" t="s">
        <v>49</v>
      </c>
      <c r="C346" s="14"/>
      <c r="D346" s="14"/>
      <c r="E346" s="14"/>
      <c r="F346" s="17">
        <f>ROUND(F345/1.3495,0)</f>
        <v>74393331</v>
      </c>
      <c r="G346" s="32"/>
    </row>
    <row r="347" spans="1:7" x14ac:dyDescent="0.25">
      <c r="A347" s="14"/>
      <c r="B347" s="14" t="s">
        <v>50</v>
      </c>
      <c r="C347" s="58">
        <v>0.24</v>
      </c>
      <c r="D347" s="14"/>
      <c r="E347" s="14"/>
      <c r="F347" s="17">
        <f>ROUND(F346*C347,0)</f>
        <v>17854399</v>
      </c>
      <c r="G347" s="32"/>
    </row>
    <row r="348" spans="1:7" x14ac:dyDescent="0.25">
      <c r="A348" s="14"/>
      <c r="B348" s="14" t="s">
        <v>47</v>
      </c>
      <c r="C348" s="58">
        <v>0.05</v>
      </c>
      <c r="D348" s="14"/>
      <c r="E348" s="14"/>
      <c r="F348" s="17">
        <f>ROUND(F346*C348,0)</f>
        <v>3719667</v>
      </c>
      <c r="G348" s="32"/>
    </row>
    <row r="349" spans="1:7" x14ac:dyDescent="0.25">
      <c r="A349" s="14"/>
      <c r="B349" s="14" t="s">
        <v>51</v>
      </c>
      <c r="C349" s="58">
        <v>0.05</v>
      </c>
      <c r="D349" s="14"/>
      <c r="E349" s="14"/>
      <c r="F349" s="17">
        <f>ROUND(F346*C349,0)</f>
        <v>3719667</v>
      </c>
      <c r="G349" s="32"/>
    </row>
    <row r="350" spans="1:7" x14ac:dyDescent="0.25">
      <c r="A350" s="14"/>
      <c r="B350" s="59" t="s">
        <v>52</v>
      </c>
      <c r="C350" s="60">
        <v>0.19</v>
      </c>
      <c r="D350" s="51"/>
      <c r="E350" s="51"/>
      <c r="F350" s="21">
        <f>ROUND(F349*19%,0)</f>
        <v>706737</v>
      </c>
      <c r="G350" s="32"/>
    </row>
    <row r="351" spans="1:7" x14ac:dyDescent="0.25">
      <c r="A351" s="14"/>
      <c r="B351" s="13" t="s">
        <v>46</v>
      </c>
      <c r="C351" s="14"/>
      <c r="D351" s="14"/>
      <c r="E351" s="14"/>
      <c r="F351" s="18">
        <f>SUM(F346:F350)</f>
        <v>100393801</v>
      </c>
      <c r="G351" s="32"/>
    </row>
    <row r="352" spans="1:7" x14ac:dyDescent="0.25">
      <c r="A352" s="32"/>
      <c r="B352" s="32"/>
      <c r="C352" s="32"/>
      <c r="D352" s="32"/>
      <c r="E352" s="32"/>
      <c r="F352" s="32"/>
      <c r="G352" s="32"/>
    </row>
    <row r="353" spans="1:9" x14ac:dyDescent="0.25">
      <c r="A353" s="32"/>
      <c r="B353" s="125" t="s">
        <v>206</v>
      </c>
      <c r="C353" s="125"/>
      <c r="D353" s="125"/>
      <c r="E353" s="125"/>
      <c r="F353" s="62">
        <f>F351</f>
        <v>100393801</v>
      </c>
      <c r="G353" s="32"/>
    </row>
    <row r="354" spans="1:9" x14ac:dyDescent="0.25">
      <c r="A354" s="32"/>
      <c r="B354" s="32"/>
      <c r="C354" s="32"/>
      <c r="D354" s="32"/>
      <c r="E354" s="32"/>
      <c r="F354" s="32"/>
      <c r="G354" s="32"/>
    </row>
    <row r="355" spans="1:9" x14ac:dyDescent="0.25">
      <c r="A355" s="32"/>
      <c r="B355" s="32"/>
      <c r="C355" s="32"/>
      <c r="D355" s="32"/>
      <c r="E355" s="32"/>
      <c r="F355" s="32"/>
      <c r="G355" s="32"/>
    </row>
    <row r="356" spans="1:9" x14ac:dyDescent="0.25">
      <c r="A356" s="32"/>
      <c r="B356" s="32"/>
      <c r="C356" s="32"/>
      <c r="D356" s="32"/>
      <c r="E356" s="32"/>
      <c r="F356" s="32"/>
      <c r="G356" s="32"/>
    </row>
    <row r="357" spans="1:9" x14ac:dyDescent="0.25">
      <c r="A357" s="32"/>
      <c r="B357" s="179" t="s">
        <v>208</v>
      </c>
      <c r="C357" s="179"/>
      <c r="D357" s="32"/>
      <c r="E357" s="32"/>
      <c r="F357" s="32"/>
      <c r="G357" s="32"/>
    </row>
    <row r="358" spans="1:9" x14ac:dyDescent="0.25">
      <c r="A358" s="32"/>
      <c r="B358" s="32"/>
      <c r="C358" s="32"/>
      <c r="D358" s="32"/>
      <c r="E358" s="32"/>
      <c r="F358" s="32"/>
      <c r="G358" s="32"/>
    </row>
    <row r="359" spans="1:9" ht="35.25" customHeight="1" x14ac:dyDescent="0.25">
      <c r="A359" s="32"/>
      <c r="B359" s="32"/>
      <c r="C359" s="32"/>
      <c r="D359" s="32"/>
      <c r="E359" s="32"/>
      <c r="F359" s="32"/>
      <c r="G359" s="32"/>
    </row>
    <row r="360" spans="1:9" ht="51" customHeight="1" x14ac:dyDescent="0.25">
      <c r="A360" s="176" t="s">
        <v>252</v>
      </c>
      <c r="B360" s="177"/>
      <c r="C360" s="177"/>
      <c r="D360" s="177"/>
      <c r="E360" s="177"/>
      <c r="F360" s="177"/>
      <c r="G360" s="32"/>
    </row>
    <row r="361" spans="1:9" x14ac:dyDescent="0.25">
      <c r="A361" s="33"/>
      <c r="B361" s="33"/>
      <c r="C361" s="33"/>
      <c r="D361" s="34"/>
      <c r="E361" s="35"/>
      <c r="F361" s="35"/>
      <c r="G361" s="32"/>
    </row>
    <row r="362" spans="1:9" x14ac:dyDescent="0.25">
      <c r="A362" s="178" t="s">
        <v>4</v>
      </c>
      <c r="B362" s="178" t="s">
        <v>0</v>
      </c>
      <c r="C362" s="178" t="s">
        <v>5</v>
      </c>
      <c r="D362" s="178" t="s">
        <v>6</v>
      </c>
      <c r="E362" s="178"/>
      <c r="F362" s="178"/>
      <c r="G362" s="32"/>
      <c r="H362" s="112"/>
      <c r="I362" s="112"/>
    </row>
    <row r="363" spans="1:9" x14ac:dyDescent="0.25">
      <c r="A363" s="178"/>
      <c r="B363" s="178"/>
      <c r="C363" s="178"/>
      <c r="D363" s="36" t="s">
        <v>7</v>
      </c>
      <c r="E363" s="37" t="s">
        <v>8</v>
      </c>
      <c r="F363" s="37" t="s">
        <v>9</v>
      </c>
      <c r="G363" s="32"/>
      <c r="H363" s="112"/>
      <c r="I363" s="112"/>
    </row>
    <row r="364" spans="1:9" x14ac:dyDescent="0.25">
      <c r="A364" s="118">
        <f t="shared" ref="A364:A402" si="18">A363+1</f>
        <v>1</v>
      </c>
      <c r="B364" s="46" t="s">
        <v>10</v>
      </c>
      <c r="C364" s="117"/>
      <c r="D364" s="36"/>
      <c r="E364" s="37"/>
      <c r="F364" s="41"/>
      <c r="G364" s="32"/>
      <c r="H364" s="112"/>
      <c r="I364" s="112"/>
    </row>
    <row r="365" spans="1:9" ht="29.25" x14ac:dyDescent="0.25">
      <c r="A365" s="118">
        <f t="shared" si="18"/>
        <v>2</v>
      </c>
      <c r="B365" s="38" t="s">
        <v>172</v>
      </c>
      <c r="C365" s="39" t="s">
        <v>12</v>
      </c>
      <c r="D365" s="40">
        <v>138</v>
      </c>
      <c r="E365" s="103">
        <f>ROUND(4867*1.045,0)</f>
        <v>5086</v>
      </c>
      <c r="F365" s="104">
        <f>ROUND((D365*E365),0)</f>
        <v>701868</v>
      </c>
      <c r="G365" s="32"/>
      <c r="H365" s="113"/>
      <c r="I365" s="113"/>
    </row>
    <row r="366" spans="1:9" ht="43.5" x14ac:dyDescent="0.25">
      <c r="A366" s="118">
        <f t="shared" si="18"/>
        <v>3</v>
      </c>
      <c r="B366" s="38" t="s">
        <v>15</v>
      </c>
      <c r="C366" s="39" t="s">
        <v>12</v>
      </c>
      <c r="D366" s="40">
        <v>138</v>
      </c>
      <c r="E366" s="72">
        <f>ROUND(9200*1.045,0)</f>
        <v>9614</v>
      </c>
      <c r="F366" s="104">
        <f>ROUND((D366*E366),0)</f>
        <v>1326732</v>
      </c>
      <c r="G366" s="32"/>
      <c r="H366" s="113"/>
      <c r="I366" s="113"/>
    </row>
    <row r="367" spans="1:9" ht="42.75" x14ac:dyDescent="0.25">
      <c r="A367" s="118">
        <f t="shared" si="18"/>
        <v>4</v>
      </c>
      <c r="B367" s="42" t="s">
        <v>69</v>
      </c>
      <c r="C367" s="39" t="s">
        <v>17</v>
      </c>
      <c r="D367" s="40">
        <v>2</v>
      </c>
      <c r="E367" s="146">
        <f>ROUND(171600*1.045,0)</f>
        <v>179322</v>
      </c>
      <c r="F367" s="104">
        <f>ROUND((D367*E367),0)</f>
        <v>358644</v>
      </c>
      <c r="G367" s="32"/>
      <c r="H367" s="113"/>
      <c r="I367" s="113"/>
    </row>
    <row r="368" spans="1:9" x14ac:dyDescent="0.25">
      <c r="A368" s="118">
        <f t="shared" si="18"/>
        <v>5</v>
      </c>
      <c r="B368" s="48" t="s">
        <v>19</v>
      </c>
      <c r="C368" s="45"/>
      <c r="D368" s="36"/>
      <c r="E368" s="107"/>
      <c r="F368" s="104"/>
      <c r="G368" s="32"/>
      <c r="H368" s="113"/>
      <c r="I368" s="113"/>
    </row>
    <row r="369" spans="1:9" ht="28.5" x14ac:dyDescent="0.25">
      <c r="A369" s="118">
        <f t="shared" si="18"/>
        <v>6</v>
      </c>
      <c r="B369" s="47" t="s">
        <v>70</v>
      </c>
      <c r="C369" s="39" t="s">
        <v>74</v>
      </c>
      <c r="D369" s="40">
        <v>54</v>
      </c>
      <c r="E369" s="146">
        <f>ROUND(83980*1.045,0)</f>
        <v>87759</v>
      </c>
      <c r="F369" s="104">
        <f>ROUND((D369*E369),0)</f>
        <v>4738986</v>
      </c>
      <c r="G369" s="32"/>
      <c r="H369" s="113"/>
      <c r="I369" s="113"/>
    </row>
    <row r="370" spans="1:9" ht="28.5" x14ac:dyDescent="0.25">
      <c r="A370" s="118">
        <f t="shared" si="18"/>
        <v>7</v>
      </c>
      <c r="B370" s="47" t="s">
        <v>71</v>
      </c>
      <c r="C370" s="39" t="s">
        <v>12</v>
      </c>
      <c r="D370" s="40">
        <v>10</v>
      </c>
      <c r="E370" s="147">
        <f>ROUND(5500*1.045,0)</f>
        <v>5748</v>
      </c>
      <c r="F370" s="104">
        <f>ROUND((D370*E370),0)</f>
        <v>57480</v>
      </c>
      <c r="G370" s="32"/>
      <c r="H370" s="113"/>
      <c r="I370" s="113"/>
    </row>
    <row r="371" spans="1:9" x14ac:dyDescent="0.25">
      <c r="A371" s="118">
        <f t="shared" si="18"/>
        <v>8</v>
      </c>
      <c r="B371" s="48" t="s">
        <v>22</v>
      </c>
      <c r="C371" s="45"/>
      <c r="D371" s="36"/>
      <c r="E371" s="107"/>
      <c r="F371" s="104"/>
      <c r="G371" s="32"/>
      <c r="H371" s="113"/>
      <c r="I371" s="113"/>
    </row>
    <row r="372" spans="1:9" ht="29.25" x14ac:dyDescent="0.25">
      <c r="A372" s="118">
        <f t="shared" si="18"/>
        <v>9</v>
      </c>
      <c r="B372" s="38" t="s">
        <v>72</v>
      </c>
      <c r="C372" s="39" t="s">
        <v>74</v>
      </c>
      <c r="D372" s="40">
        <v>30</v>
      </c>
      <c r="E372" s="147">
        <f>ROUND(25687*1.045,0)</f>
        <v>26843</v>
      </c>
      <c r="F372" s="104">
        <f t="shared" ref="F372:F374" si="19">ROUND((D372*E372),0)</f>
        <v>805290</v>
      </c>
      <c r="G372" s="32"/>
      <c r="H372" s="113"/>
      <c r="I372" s="113"/>
    </row>
    <row r="373" spans="1:9" ht="29.25" x14ac:dyDescent="0.25">
      <c r="A373" s="118">
        <f t="shared" si="18"/>
        <v>10</v>
      </c>
      <c r="B373" s="38" t="s">
        <v>73</v>
      </c>
      <c r="C373" s="39" t="s">
        <v>74</v>
      </c>
      <c r="D373" s="40">
        <v>40</v>
      </c>
      <c r="E373" s="146">
        <f>ROUND(31640*1.045,0)</f>
        <v>33064</v>
      </c>
      <c r="F373" s="104">
        <f t="shared" si="19"/>
        <v>1322560</v>
      </c>
      <c r="G373" s="32"/>
      <c r="H373" s="113"/>
      <c r="I373" s="113"/>
    </row>
    <row r="374" spans="1:9" ht="29.25" x14ac:dyDescent="0.25">
      <c r="A374" s="118">
        <f t="shared" si="18"/>
        <v>11</v>
      </c>
      <c r="B374" s="38" t="s">
        <v>173</v>
      </c>
      <c r="C374" s="39" t="s">
        <v>74</v>
      </c>
      <c r="D374" s="40">
        <v>120</v>
      </c>
      <c r="E374" s="146">
        <f>ROUND(65000*1.045,0)</f>
        <v>67925</v>
      </c>
      <c r="F374" s="104">
        <f t="shared" si="19"/>
        <v>8151000</v>
      </c>
      <c r="G374" s="32"/>
      <c r="H374" s="113"/>
      <c r="I374" s="113"/>
    </row>
    <row r="375" spans="1:9" ht="30" x14ac:dyDescent="0.25">
      <c r="A375" s="118">
        <f t="shared" si="18"/>
        <v>12</v>
      </c>
      <c r="B375" s="48" t="s">
        <v>174</v>
      </c>
      <c r="C375" s="45"/>
      <c r="D375" s="36"/>
      <c r="E375" s="108"/>
      <c r="F375" s="104"/>
      <c r="G375" s="32"/>
      <c r="H375" s="113"/>
      <c r="I375" s="113"/>
    </row>
    <row r="376" spans="1:9" ht="71.25" x14ac:dyDescent="0.25">
      <c r="A376" s="118">
        <f t="shared" si="18"/>
        <v>13</v>
      </c>
      <c r="B376" s="42" t="s">
        <v>175</v>
      </c>
      <c r="C376" s="39" t="s">
        <v>12</v>
      </c>
      <c r="D376" s="40">
        <v>69</v>
      </c>
      <c r="E376" s="147">
        <f>ROUND(8500*1.045,0)</f>
        <v>8883</v>
      </c>
      <c r="F376" s="104">
        <f>ROUND((D376*E376),0)</f>
        <v>612927</v>
      </c>
      <c r="G376" s="32"/>
      <c r="H376" s="114"/>
      <c r="I376" s="112"/>
    </row>
    <row r="377" spans="1:9" ht="43.5" x14ac:dyDescent="0.25">
      <c r="A377" s="118">
        <f t="shared" si="18"/>
        <v>14</v>
      </c>
      <c r="B377" s="38" t="s">
        <v>176</v>
      </c>
      <c r="C377" s="39" t="s">
        <v>78</v>
      </c>
      <c r="D377" s="40">
        <v>20</v>
      </c>
      <c r="E377" s="147">
        <f>ROUND(77427*1.045,0)</f>
        <v>80911</v>
      </c>
      <c r="F377" s="104">
        <f>ROUND((D377*E377),0)</f>
        <v>1618220</v>
      </c>
      <c r="G377" s="32"/>
      <c r="H377" s="114"/>
      <c r="I377" s="112"/>
    </row>
    <row r="378" spans="1:9" ht="30" x14ac:dyDescent="0.25">
      <c r="A378" s="118">
        <f t="shared" si="18"/>
        <v>15</v>
      </c>
      <c r="B378" s="48" t="s">
        <v>75</v>
      </c>
      <c r="C378" s="45"/>
      <c r="D378" s="36"/>
      <c r="E378" s="147" t="s">
        <v>1</v>
      </c>
      <c r="F378" s="104"/>
      <c r="G378" s="32"/>
      <c r="H378" s="114"/>
      <c r="I378" s="112"/>
    </row>
    <row r="379" spans="1:9" ht="43.5" x14ac:dyDescent="0.25">
      <c r="A379" s="118">
        <f t="shared" si="18"/>
        <v>16</v>
      </c>
      <c r="B379" s="38" t="s">
        <v>76</v>
      </c>
      <c r="C379" s="39" t="s">
        <v>12</v>
      </c>
      <c r="D379" s="40">
        <v>96</v>
      </c>
      <c r="E379" s="147">
        <f>ROUND(13098*1.045,0)</f>
        <v>13687</v>
      </c>
      <c r="F379" s="104">
        <f>ROUND((D379*E379),0)</f>
        <v>1313952</v>
      </c>
      <c r="G379" s="32"/>
      <c r="H379" s="112"/>
      <c r="I379" s="114"/>
    </row>
    <row r="380" spans="1:9" ht="43.5" x14ac:dyDescent="0.25">
      <c r="A380" s="118">
        <f t="shared" si="18"/>
        <v>17</v>
      </c>
      <c r="B380" s="38" t="s">
        <v>207</v>
      </c>
      <c r="C380" s="39" t="s">
        <v>12</v>
      </c>
      <c r="D380" s="40">
        <v>69</v>
      </c>
      <c r="E380" s="147">
        <f>ROUND(15897*1.045,0)</f>
        <v>16612</v>
      </c>
      <c r="F380" s="104">
        <f>ROUND((D380*E380),0)</f>
        <v>1146228</v>
      </c>
      <c r="G380" s="32"/>
      <c r="H380" s="112"/>
      <c r="I380" s="114"/>
    </row>
    <row r="381" spans="1:9" ht="43.5" x14ac:dyDescent="0.25">
      <c r="A381" s="118">
        <f t="shared" si="18"/>
        <v>18</v>
      </c>
      <c r="B381" s="38" t="s">
        <v>77</v>
      </c>
      <c r="C381" s="43" t="s">
        <v>78</v>
      </c>
      <c r="D381" s="44">
        <v>16</v>
      </c>
      <c r="E381" s="147">
        <f>ROUND(40379*1.045,0)</f>
        <v>42196</v>
      </c>
      <c r="F381" s="106">
        <f>SUM(D381*E381)</f>
        <v>675136</v>
      </c>
      <c r="G381" s="32"/>
      <c r="H381" s="112"/>
      <c r="I381" s="114"/>
    </row>
    <row r="382" spans="1:9" x14ac:dyDescent="0.25">
      <c r="A382" s="118">
        <f t="shared" si="18"/>
        <v>19</v>
      </c>
      <c r="B382" s="48" t="s">
        <v>79</v>
      </c>
      <c r="C382" s="45"/>
      <c r="D382" s="36"/>
      <c r="E382" s="147" t="s">
        <v>1</v>
      </c>
      <c r="F382" s="104"/>
      <c r="G382" s="32"/>
      <c r="H382" s="112"/>
      <c r="I382" s="114"/>
    </row>
    <row r="383" spans="1:9" x14ac:dyDescent="0.25">
      <c r="A383" s="118">
        <f t="shared" si="18"/>
        <v>20</v>
      </c>
      <c r="B383" s="38" t="s">
        <v>80</v>
      </c>
      <c r="C383" s="39" t="s">
        <v>12</v>
      </c>
      <c r="D383" s="40">
        <v>69</v>
      </c>
      <c r="E383" s="147">
        <f>ROUND(27450*1.045,0)</f>
        <v>28685</v>
      </c>
      <c r="F383" s="104">
        <f>ROUND((D383*E383),0)</f>
        <v>1979265</v>
      </c>
      <c r="G383" s="32"/>
      <c r="H383" s="112"/>
      <c r="I383" s="114"/>
    </row>
    <row r="384" spans="1:9" ht="30" x14ac:dyDescent="0.25">
      <c r="A384" s="118">
        <f t="shared" si="18"/>
        <v>21</v>
      </c>
      <c r="B384" s="48" t="s">
        <v>81</v>
      </c>
      <c r="C384" s="45"/>
      <c r="D384" s="36"/>
      <c r="E384" s="107"/>
      <c r="F384" s="104">
        <f>ROUND((D384*E384),0)</f>
        <v>0</v>
      </c>
      <c r="G384" s="32"/>
      <c r="H384" s="112"/>
      <c r="I384" s="114"/>
    </row>
    <row r="385" spans="1:10" ht="57" x14ac:dyDescent="0.25">
      <c r="A385" s="118">
        <f t="shared" si="18"/>
        <v>22</v>
      </c>
      <c r="B385" s="47" t="s">
        <v>82</v>
      </c>
      <c r="C385" s="39" t="s">
        <v>83</v>
      </c>
      <c r="D385" s="40">
        <v>16</v>
      </c>
      <c r="E385" s="147">
        <f>ROUND(223256*1.045,0)</f>
        <v>233303</v>
      </c>
      <c r="F385" s="104">
        <f>ROUND((D385*E385),0)</f>
        <v>3732848</v>
      </c>
      <c r="G385" s="32"/>
      <c r="H385" s="112"/>
      <c r="I385" s="114"/>
    </row>
    <row r="386" spans="1:10" x14ac:dyDescent="0.25">
      <c r="A386" s="118">
        <f t="shared" si="18"/>
        <v>23</v>
      </c>
      <c r="B386" s="48" t="s">
        <v>84</v>
      </c>
      <c r="C386" s="45"/>
      <c r="D386" s="36"/>
      <c r="E386" s="107"/>
      <c r="F386" s="104"/>
      <c r="G386" s="32"/>
      <c r="H386" s="112"/>
      <c r="I386" s="114"/>
    </row>
    <row r="387" spans="1:10" ht="29.25" x14ac:dyDescent="0.25">
      <c r="A387" s="118">
        <f t="shared" si="18"/>
        <v>24</v>
      </c>
      <c r="B387" s="38" t="s">
        <v>85</v>
      </c>
      <c r="C387" s="39" t="s">
        <v>74</v>
      </c>
      <c r="D387" s="40">
        <v>10</v>
      </c>
      <c r="E387" s="147">
        <f>ROUND(22686*1.045,0)</f>
        <v>23707</v>
      </c>
      <c r="F387" s="104">
        <f>ROUND((D387*E387),0)</f>
        <v>237070</v>
      </c>
      <c r="G387" s="32"/>
      <c r="H387" s="113"/>
      <c r="I387" s="113"/>
    </row>
    <row r="388" spans="1:10" ht="42.75" x14ac:dyDescent="0.25">
      <c r="A388" s="118">
        <f t="shared" si="18"/>
        <v>25</v>
      </c>
      <c r="B388" s="42" t="s">
        <v>177</v>
      </c>
      <c r="C388" s="39" t="s">
        <v>74</v>
      </c>
      <c r="D388" s="40">
        <v>180</v>
      </c>
      <c r="E388" s="147">
        <f>ROUND(92913*1.045,0)</f>
        <v>97094</v>
      </c>
      <c r="F388" s="104">
        <f>ROUND((D388*E388),0)</f>
        <v>17476920</v>
      </c>
      <c r="G388" s="32"/>
      <c r="H388" s="113"/>
      <c r="I388" s="113"/>
    </row>
    <row r="389" spans="1:10" ht="29.25" x14ac:dyDescent="0.25">
      <c r="A389" s="118">
        <f t="shared" si="18"/>
        <v>26</v>
      </c>
      <c r="B389" s="38" t="s">
        <v>86</v>
      </c>
      <c r="C389" s="39" t="s">
        <v>74</v>
      </c>
      <c r="D389" s="40">
        <v>18</v>
      </c>
      <c r="E389" s="147">
        <f>ROUND(104720*1.045,0)</f>
        <v>109432</v>
      </c>
      <c r="F389" s="104">
        <f>ROUND((D389*E389),0)</f>
        <v>1969776</v>
      </c>
      <c r="G389" s="32"/>
      <c r="H389" s="113"/>
      <c r="I389" s="113"/>
    </row>
    <row r="390" spans="1:10" ht="30" x14ac:dyDescent="0.25">
      <c r="A390" s="118">
        <f t="shared" si="18"/>
        <v>27</v>
      </c>
      <c r="B390" s="48" t="s">
        <v>87</v>
      </c>
      <c r="C390" s="45"/>
      <c r="D390" s="36"/>
      <c r="E390" s="107"/>
      <c r="F390" s="104"/>
      <c r="G390" s="32"/>
      <c r="H390" s="112"/>
      <c r="I390" s="112"/>
    </row>
    <row r="391" spans="1:10" ht="71.25" x14ac:dyDescent="0.25">
      <c r="A391" s="118">
        <f t="shared" si="18"/>
        <v>28</v>
      </c>
      <c r="B391" s="47" t="s">
        <v>178</v>
      </c>
      <c r="C391" s="39" t="s">
        <v>74</v>
      </c>
      <c r="D391" s="40">
        <v>10.92</v>
      </c>
      <c r="E391" s="147">
        <f>ROUND(106315*1.045,0)</f>
        <v>111099</v>
      </c>
      <c r="F391" s="104">
        <f>ROUND((D391*E391),0)</f>
        <v>1213201</v>
      </c>
      <c r="G391" s="32"/>
      <c r="H391" s="113"/>
      <c r="I391" s="113"/>
    </row>
    <row r="392" spans="1:10" ht="45" x14ac:dyDescent="0.25">
      <c r="A392" s="118">
        <f t="shared" si="18"/>
        <v>29</v>
      </c>
      <c r="B392" s="49" t="s">
        <v>88</v>
      </c>
      <c r="C392" s="45"/>
      <c r="D392" s="36"/>
      <c r="E392" s="107"/>
      <c r="F392" s="104"/>
      <c r="G392" s="32"/>
      <c r="H392" s="113"/>
      <c r="I392" s="113"/>
    </row>
    <row r="393" spans="1:10" ht="28.5" x14ac:dyDescent="0.25">
      <c r="A393" s="118">
        <f t="shared" si="18"/>
        <v>30</v>
      </c>
      <c r="B393" s="50" t="s">
        <v>179</v>
      </c>
      <c r="C393" s="39" t="s">
        <v>78</v>
      </c>
      <c r="D393" s="40">
        <v>2</v>
      </c>
      <c r="E393" s="147">
        <f>ROUND(92000*1.045,0)</f>
        <v>96140</v>
      </c>
      <c r="F393" s="104">
        <f>ROUND((D393*E393),0)</f>
        <v>192280</v>
      </c>
      <c r="G393" s="32"/>
      <c r="H393" s="112"/>
      <c r="I393" s="114"/>
    </row>
    <row r="394" spans="1:10" ht="57" x14ac:dyDescent="0.25">
      <c r="A394" s="118">
        <f t="shared" si="18"/>
        <v>31</v>
      </c>
      <c r="B394" s="50" t="s">
        <v>89</v>
      </c>
      <c r="C394" s="39" t="s">
        <v>12</v>
      </c>
      <c r="D394" s="40">
        <v>2.6</v>
      </c>
      <c r="E394" s="147">
        <f>ROUND(451034*1.045,0)</f>
        <v>471331</v>
      </c>
      <c r="F394" s="104">
        <f>ROUND((D394*E394),0)</f>
        <v>1225461</v>
      </c>
      <c r="G394" s="32"/>
      <c r="H394" s="112"/>
      <c r="I394" s="114"/>
    </row>
    <row r="395" spans="1:10" ht="42.75" x14ac:dyDescent="0.25">
      <c r="A395" s="118">
        <f t="shared" si="18"/>
        <v>32</v>
      </c>
      <c r="B395" s="50" t="s">
        <v>180</v>
      </c>
      <c r="C395" s="39" t="s">
        <v>78</v>
      </c>
      <c r="D395" s="40">
        <v>2</v>
      </c>
      <c r="E395" s="147">
        <f>ROUND(905000*1.045,0)</f>
        <v>945725</v>
      </c>
      <c r="F395" s="104">
        <f>ROUND((D395*E395),0)</f>
        <v>1891450</v>
      </c>
      <c r="G395" s="32"/>
      <c r="H395" s="112"/>
      <c r="I395" s="114"/>
    </row>
    <row r="396" spans="1:10" x14ac:dyDescent="0.25">
      <c r="A396" s="118">
        <f t="shared" si="18"/>
        <v>33</v>
      </c>
      <c r="B396" s="46" t="s">
        <v>90</v>
      </c>
      <c r="C396" s="45"/>
      <c r="D396" s="36"/>
      <c r="E396" s="107"/>
      <c r="F396" s="104"/>
      <c r="G396" s="32"/>
      <c r="H396" s="112"/>
      <c r="I396" s="114"/>
    </row>
    <row r="397" spans="1:10" ht="57" x14ac:dyDescent="0.25">
      <c r="A397" s="118">
        <f t="shared" si="18"/>
        <v>34</v>
      </c>
      <c r="B397" s="50" t="s">
        <v>91</v>
      </c>
      <c r="C397" s="39" t="s">
        <v>74</v>
      </c>
      <c r="D397" s="40">
        <v>200</v>
      </c>
      <c r="E397" s="147">
        <f>ROUND(28500*1.045,0)</f>
        <v>29783</v>
      </c>
      <c r="F397" s="104">
        <f>ROUND((D397*E397),0)</f>
        <v>5956600</v>
      </c>
      <c r="G397" s="32"/>
      <c r="H397" s="113"/>
      <c r="I397" s="113"/>
      <c r="J397" s="112"/>
    </row>
    <row r="398" spans="1:10" x14ac:dyDescent="0.25">
      <c r="A398" s="118">
        <f t="shared" si="18"/>
        <v>35</v>
      </c>
      <c r="B398" s="46" t="s">
        <v>92</v>
      </c>
      <c r="C398" s="45"/>
      <c r="D398" s="36"/>
      <c r="E398" s="107"/>
      <c r="F398" s="104"/>
      <c r="G398" s="32"/>
      <c r="H398" s="112"/>
      <c r="I398" s="112"/>
      <c r="J398" s="112"/>
    </row>
    <row r="399" spans="1:10" ht="29.25" x14ac:dyDescent="0.25">
      <c r="A399" s="118">
        <f t="shared" si="18"/>
        <v>36</v>
      </c>
      <c r="B399" s="38" t="s">
        <v>67</v>
      </c>
      <c r="C399" s="39" t="s">
        <v>74</v>
      </c>
      <c r="D399" s="40">
        <v>2.7</v>
      </c>
      <c r="E399" s="147">
        <f>ROUND(573000*1.045,0)</f>
        <v>598785</v>
      </c>
      <c r="F399" s="104">
        <f t="shared" ref="F399:F400" si="20">ROUND((D399*E399),0)</f>
        <v>1616720</v>
      </c>
      <c r="G399" s="32"/>
      <c r="H399" s="113"/>
      <c r="I399" s="113"/>
      <c r="J399" s="112"/>
    </row>
    <row r="400" spans="1:10" ht="42.75" x14ac:dyDescent="0.25">
      <c r="A400" s="118">
        <f t="shared" si="18"/>
        <v>37</v>
      </c>
      <c r="B400" s="42" t="s">
        <v>181</v>
      </c>
      <c r="C400" s="39" t="s">
        <v>14</v>
      </c>
      <c r="D400" s="40">
        <v>20</v>
      </c>
      <c r="E400" s="147">
        <f>ROUND(65000*1.045,0)</f>
        <v>67925</v>
      </c>
      <c r="F400" s="104">
        <f t="shared" si="20"/>
        <v>1358500</v>
      </c>
      <c r="G400" s="32"/>
      <c r="H400" s="113"/>
      <c r="I400" s="113"/>
      <c r="J400" s="112"/>
    </row>
    <row r="401" spans="1:11" x14ac:dyDescent="0.25">
      <c r="A401" s="118">
        <f t="shared" si="18"/>
        <v>38</v>
      </c>
      <c r="B401" s="46" t="s">
        <v>41</v>
      </c>
      <c r="C401" s="45"/>
      <c r="D401" s="36"/>
      <c r="E401" s="107"/>
      <c r="F401" s="104"/>
      <c r="G401" s="32"/>
      <c r="H401" s="112"/>
      <c r="I401" s="112"/>
      <c r="J401" s="112"/>
    </row>
    <row r="402" spans="1:11" ht="57" x14ac:dyDescent="0.25">
      <c r="A402" s="118">
        <f t="shared" si="18"/>
        <v>39</v>
      </c>
      <c r="B402" s="50" t="s">
        <v>93</v>
      </c>
      <c r="C402" s="39" t="s">
        <v>94</v>
      </c>
      <c r="D402" s="40">
        <v>180</v>
      </c>
      <c r="E402" s="147">
        <f>ROUND(5850*1.045,0)</f>
        <v>6113</v>
      </c>
      <c r="F402" s="104">
        <f>ROUND((D402*E402),0)</f>
        <v>1100340</v>
      </c>
      <c r="G402" s="32"/>
      <c r="H402" s="113"/>
      <c r="I402" s="113"/>
      <c r="J402" s="112"/>
      <c r="K402" s="22"/>
    </row>
    <row r="403" spans="1:11" x14ac:dyDescent="0.25">
      <c r="A403" s="116"/>
      <c r="B403" s="13" t="s">
        <v>46</v>
      </c>
      <c r="C403" s="23"/>
      <c r="D403" s="57"/>
      <c r="E403" s="107"/>
      <c r="F403" s="107">
        <f>ROUND(F402+F400+F399+F397+F395+F394+F393+F391+F388+F389+F387+F385+F383+F381+F380+F379+F377++F374++F376+F373+F372+F370+F369+F367+F366+F365,0)</f>
        <v>62779454</v>
      </c>
      <c r="G403" s="32"/>
      <c r="H403" s="112"/>
      <c r="I403" s="112"/>
      <c r="J403" s="112"/>
    </row>
    <row r="404" spans="1:11" x14ac:dyDescent="0.25">
      <c r="A404" s="14"/>
      <c r="B404" s="14" t="s">
        <v>49</v>
      </c>
      <c r="C404" s="14"/>
      <c r="D404" s="14"/>
      <c r="E404" s="111"/>
      <c r="F404" s="111">
        <f>ROUND(F403/1.3495,0)</f>
        <v>46520529</v>
      </c>
      <c r="G404" s="32"/>
      <c r="H404" s="113"/>
      <c r="I404" s="113"/>
      <c r="J404" s="112"/>
    </row>
    <row r="405" spans="1:11" x14ac:dyDescent="0.25">
      <c r="A405" s="14"/>
      <c r="B405" s="14" t="s">
        <v>50</v>
      </c>
      <c r="C405" s="58">
        <v>0.24</v>
      </c>
      <c r="D405" s="14"/>
      <c r="E405" s="111"/>
      <c r="F405" s="111">
        <f>ROUND(F404*C405,0)</f>
        <v>11164927</v>
      </c>
      <c r="G405" s="32"/>
      <c r="H405" s="112"/>
      <c r="I405" s="112"/>
      <c r="J405" s="112"/>
    </row>
    <row r="406" spans="1:11" x14ac:dyDescent="0.25">
      <c r="A406" s="14"/>
      <c r="B406" s="14" t="s">
        <v>47</v>
      </c>
      <c r="C406" s="58">
        <v>0.05</v>
      </c>
      <c r="D406" s="14"/>
      <c r="E406" s="111"/>
      <c r="F406" s="111">
        <f>ROUND(F404*C406,0)</f>
        <v>2326026</v>
      </c>
      <c r="G406" s="32"/>
      <c r="H406" s="115"/>
      <c r="I406" s="115"/>
      <c r="J406" s="115"/>
    </row>
    <row r="407" spans="1:11" x14ac:dyDescent="0.25">
      <c r="A407" s="14"/>
      <c r="B407" s="14" t="s">
        <v>51</v>
      </c>
      <c r="C407" s="58">
        <v>0.05</v>
      </c>
      <c r="D407" s="14"/>
      <c r="E407" s="14"/>
      <c r="F407" s="17">
        <f>ROUND(F404*C407,0)</f>
        <v>2326026</v>
      </c>
      <c r="G407" s="32"/>
    </row>
    <row r="408" spans="1:11" x14ac:dyDescent="0.25">
      <c r="A408" s="14"/>
      <c r="B408" s="59" t="s">
        <v>52</v>
      </c>
      <c r="C408" s="60">
        <v>0.19</v>
      </c>
      <c r="D408" s="51"/>
      <c r="E408" s="51"/>
      <c r="F408" s="21">
        <f>ROUND(F407*19%,0)</f>
        <v>441945</v>
      </c>
      <c r="G408" s="32"/>
    </row>
    <row r="409" spans="1:11" x14ac:dyDescent="0.25">
      <c r="A409" s="14"/>
      <c r="B409" s="13" t="s">
        <v>46</v>
      </c>
      <c r="C409" s="14"/>
      <c r="D409" s="14"/>
      <c r="E409" s="14"/>
      <c r="F409" s="18">
        <f>SUM(F404:F408)</f>
        <v>62779453</v>
      </c>
      <c r="G409" s="32"/>
    </row>
    <row r="410" spans="1:11" x14ac:dyDescent="0.25">
      <c r="A410" s="61"/>
      <c r="B410" s="61"/>
      <c r="C410" s="61"/>
      <c r="D410" s="61"/>
      <c r="E410" s="61"/>
      <c r="F410" s="61"/>
      <c r="G410" s="32"/>
    </row>
    <row r="411" spans="1:11" ht="48.75" customHeight="1" x14ac:dyDescent="0.25">
      <c r="A411" s="176" t="s">
        <v>253</v>
      </c>
      <c r="B411" s="177"/>
      <c r="C411" s="177"/>
      <c r="D411" s="177"/>
      <c r="E411" s="177"/>
      <c r="F411" s="177"/>
      <c r="G411" s="32"/>
    </row>
    <row r="412" spans="1:11" x14ac:dyDescent="0.25">
      <c r="A412" s="178" t="s">
        <v>4</v>
      </c>
      <c r="B412" s="178" t="s">
        <v>0</v>
      </c>
      <c r="C412" s="178" t="s">
        <v>5</v>
      </c>
      <c r="D412" s="178" t="s">
        <v>6</v>
      </c>
      <c r="E412" s="178"/>
      <c r="F412" s="178"/>
      <c r="G412" s="32"/>
      <c r="H412" s="112"/>
      <c r="I412" s="112"/>
    </row>
    <row r="413" spans="1:11" x14ac:dyDescent="0.25">
      <c r="A413" s="178"/>
      <c r="B413" s="178"/>
      <c r="C413" s="178"/>
      <c r="D413" s="36" t="s">
        <v>7</v>
      </c>
      <c r="E413" s="37" t="s">
        <v>8</v>
      </c>
      <c r="F413" s="37" t="s">
        <v>9</v>
      </c>
      <c r="G413" s="32"/>
      <c r="H413" s="112"/>
      <c r="I413" s="112"/>
    </row>
    <row r="414" spans="1:11" x14ac:dyDescent="0.25">
      <c r="A414" s="118">
        <f t="shared" ref="A414:A452" si="21">A413+1</f>
        <v>1</v>
      </c>
      <c r="B414" s="46" t="s">
        <v>10</v>
      </c>
      <c r="C414" s="117"/>
      <c r="D414" s="36"/>
      <c r="E414" s="37"/>
      <c r="F414" s="41"/>
      <c r="G414" s="32"/>
      <c r="H414" s="112"/>
      <c r="I414" s="112"/>
    </row>
    <row r="415" spans="1:11" ht="29.25" x14ac:dyDescent="0.25">
      <c r="A415" s="118">
        <f t="shared" si="21"/>
        <v>2</v>
      </c>
      <c r="B415" s="38" t="s">
        <v>172</v>
      </c>
      <c r="C415" s="145" t="s">
        <v>12</v>
      </c>
      <c r="D415" s="102">
        <v>144</v>
      </c>
      <c r="E415" s="105">
        <f>ROUND(4867*1.045,0)</f>
        <v>5086</v>
      </c>
      <c r="F415" s="10">
        <f>ROUND((D415*E415),0)</f>
        <v>732384</v>
      </c>
      <c r="G415" s="32"/>
      <c r="H415" s="113"/>
      <c r="I415" s="113"/>
    </row>
    <row r="416" spans="1:11" ht="43.5" x14ac:dyDescent="0.25">
      <c r="A416" s="118">
        <f t="shared" si="21"/>
        <v>3</v>
      </c>
      <c r="B416" s="38" t="s">
        <v>15</v>
      </c>
      <c r="C416" s="145" t="s">
        <v>12</v>
      </c>
      <c r="D416" s="102">
        <v>102</v>
      </c>
      <c r="E416" s="105">
        <f>ROUND(9200*1.045,0)</f>
        <v>9614</v>
      </c>
      <c r="F416" s="10">
        <f>ROUND((D416*E416),0)</f>
        <v>980628</v>
      </c>
      <c r="G416" s="32"/>
      <c r="H416" s="113"/>
      <c r="I416" s="113"/>
    </row>
    <row r="417" spans="1:9" ht="42.75" x14ac:dyDescent="0.25">
      <c r="A417" s="118">
        <f t="shared" si="21"/>
        <v>4</v>
      </c>
      <c r="B417" s="42" t="s">
        <v>69</v>
      </c>
      <c r="C417" s="145" t="s">
        <v>17</v>
      </c>
      <c r="D417" s="102">
        <v>2</v>
      </c>
      <c r="E417" s="105">
        <f>ROUND(171600*1.045,0)</f>
        <v>179322</v>
      </c>
      <c r="F417" s="10">
        <f>ROUND((D417*E417),0)</f>
        <v>358644</v>
      </c>
      <c r="G417" s="32"/>
      <c r="H417" s="113"/>
      <c r="I417" s="113"/>
    </row>
    <row r="418" spans="1:9" x14ac:dyDescent="0.25">
      <c r="A418" s="118">
        <f t="shared" si="21"/>
        <v>5</v>
      </c>
      <c r="B418" s="48" t="s">
        <v>19</v>
      </c>
      <c r="C418" s="144"/>
      <c r="D418" s="109"/>
      <c r="E418" s="110"/>
      <c r="F418" s="10"/>
      <c r="G418" s="32"/>
      <c r="H418" s="113"/>
      <c r="I418" s="113"/>
    </row>
    <row r="419" spans="1:9" ht="28.5" x14ac:dyDescent="0.25">
      <c r="A419" s="118">
        <f t="shared" si="21"/>
        <v>6</v>
      </c>
      <c r="B419" s="47" t="s">
        <v>70</v>
      </c>
      <c r="C419" s="145" t="s">
        <v>74</v>
      </c>
      <c r="D419" s="102">
        <v>5</v>
      </c>
      <c r="E419" s="105">
        <f>ROUND(83980*1.045,0)</f>
        <v>87759</v>
      </c>
      <c r="F419" s="10">
        <f>ROUND((D419*E419),0)</f>
        <v>438795</v>
      </c>
      <c r="G419" s="32"/>
      <c r="H419" s="113"/>
      <c r="I419" s="113"/>
    </row>
    <row r="420" spans="1:9" ht="28.5" x14ac:dyDescent="0.25">
      <c r="A420" s="118">
        <f t="shared" si="21"/>
        <v>7</v>
      </c>
      <c r="B420" s="47" t="s">
        <v>71</v>
      </c>
      <c r="C420" s="145" t="s">
        <v>12</v>
      </c>
      <c r="D420" s="102">
        <v>50</v>
      </c>
      <c r="E420" s="105">
        <f>ROUND(5500*1.045,0)</f>
        <v>5748</v>
      </c>
      <c r="F420" s="10">
        <f>ROUND((D420*E420),0)</f>
        <v>287400</v>
      </c>
      <c r="G420" s="32"/>
      <c r="H420" s="113"/>
      <c r="I420" s="113"/>
    </row>
    <row r="421" spans="1:9" x14ac:dyDescent="0.25">
      <c r="A421" s="118">
        <f t="shared" si="21"/>
        <v>8</v>
      </c>
      <c r="B421" s="48" t="s">
        <v>22</v>
      </c>
      <c r="C421" s="144"/>
      <c r="D421" s="109"/>
      <c r="E421" s="110"/>
      <c r="F421" s="10"/>
      <c r="G421" s="32"/>
      <c r="H421" s="113"/>
      <c r="I421" s="113"/>
    </row>
    <row r="422" spans="1:9" ht="29.25" x14ac:dyDescent="0.25">
      <c r="A422" s="118">
        <f t="shared" si="21"/>
        <v>9</v>
      </c>
      <c r="B422" s="38" t="s">
        <v>72</v>
      </c>
      <c r="C422" s="145" t="s">
        <v>74</v>
      </c>
      <c r="D422" s="102">
        <v>30</v>
      </c>
      <c r="E422" s="105">
        <f>ROUND(25687*1.045,0)</f>
        <v>26843</v>
      </c>
      <c r="F422" s="10">
        <f t="shared" ref="F422:F424" si="22">ROUND((D422*E422),0)</f>
        <v>805290</v>
      </c>
      <c r="G422" s="32"/>
      <c r="H422" s="113"/>
      <c r="I422" s="113"/>
    </row>
    <row r="423" spans="1:9" ht="29.25" x14ac:dyDescent="0.25">
      <c r="A423" s="118">
        <f t="shared" si="21"/>
        <v>10</v>
      </c>
      <c r="B423" s="38" t="s">
        <v>73</v>
      </c>
      <c r="C423" s="39" t="s">
        <v>74</v>
      </c>
      <c r="D423" s="40">
        <v>40</v>
      </c>
      <c r="E423" s="103">
        <f>ROUND(31640*1.045,0)</f>
        <v>33064</v>
      </c>
      <c r="F423" s="104">
        <f t="shared" si="22"/>
        <v>1322560</v>
      </c>
      <c r="G423" s="32"/>
      <c r="H423" s="113"/>
      <c r="I423" s="113"/>
    </row>
    <row r="424" spans="1:9" ht="29.25" x14ac:dyDescent="0.25">
      <c r="A424" s="118">
        <f t="shared" si="21"/>
        <v>11</v>
      </c>
      <c r="B424" s="38" t="s">
        <v>173</v>
      </c>
      <c r="C424" s="39" t="s">
        <v>74</v>
      </c>
      <c r="D424" s="40">
        <v>170</v>
      </c>
      <c r="E424" s="103">
        <f>ROUND(65000*1.045,0)</f>
        <v>67925</v>
      </c>
      <c r="F424" s="104">
        <f t="shared" si="22"/>
        <v>11547250</v>
      </c>
      <c r="G424" s="32"/>
      <c r="H424" s="113"/>
      <c r="I424" s="113"/>
    </row>
    <row r="425" spans="1:9" ht="30" x14ac:dyDescent="0.25">
      <c r="A425" s="118">
        <f t="shared" si="21"/>
        <v>12</v>
      </c>
      <c r="B425" s="48" t="s">
        <v>174</v>
      </c>
      <c r="C425" s="45"/>
      <c r="D425" s="36"/>
      <c r="E425" s="108"/>
      <c r="F425" s="104"/>
      <c r="G425" s="32"/>
      <c r="H425" s="113"/>
      <c r="I425" s="113"/>
    </row>
    <row r="426" spans="1:9" ht="71.25" x14ac:dyDescent="0.25">
      <c r="A426" s="118">
        <f t="shared" si="21"/>
        <v>13</v>
      </c>
      <c r="B426" s="42" t="s">
        <v>175</v>
      </c>
      <c r="C426" s="39" t="s">
        <v>12</v>
      </c>
      <c r="D426" s="40">
        <v>72</v>
      </c>
      <c r="E426" s="103">
        <f>ROUND(8500*1.045,0)</f>
        <v>8883</v>
      </c>
      <c r="F426" s="104">
        <f>ROUND((D426*E426),0)</f>
        <v>639576</v>
      </c>
      <c r="G426" s="32"/>
      <c r="H426" s="114"/>
      <c r="I426" s="112"/>
    </row>
    <row r="427" spans="1:9" ht="43.5" x14ac:dyDescent="0.25">
      <c r="A427" s="118">
        <f t="shared" si="21"/>
        <v>14</v>
      </c>
      <c r="B427" s="38" t="s">
        <v>176</v>
      </c>
      <c r="C427" s="39" t="s">
        <v>78</v>
      </c>
      <c r="D427" s="40">
        <v>18</v>
      </c>
      <c r="E427" s="103">
        <f>ROUND(77427*1.045,0)</f>
        <v>80911</v>
      </c>
      <c r="F427" s="104">
        <f>ROUND((D427*E427),0)</f>
        <v>1456398</v>
      </c>
      <c r="G427" s="32"/>
      <c r="H427" s="114"/>
      <c r="I427" s="112"/>
    </row>
    <row r="428" spans="1:9" ht="30" x14ac:dyDescent="0.25">
      <c r="A428" s="118">
        <f t="shared" si="21"/>
        <v>15</v>
      </c>
      <c r="B428" s="48" t="s">
        <v>75</v>
      </c>
      <c r="C428" s="45"/>
      <c r="D428" s="36"/>
      <c r="E428" s="103" t="s">
        <v>1</v>
      </c>
      <c r="F428" s="104"/>
      <c r="G428" s="32"/>
      <c r="H428" s="114"/>
      <c r="I428" s="112"/>
    </row>
    <row r="429" spans="1:9" ht="43.5" x14ac:dyDescent="0.25">
      <c r="A429" s="118">
        <f t="shared" si="21"/>
        <v>16</v>
      </c>
      <c r="B429" s="38" t="s">
        <v>76</v>
      </c>
      <c r="C429" s="39" t="s">
        <v>12</v>
      </c>
      <c r="D429" s="40">
        <v>72</v>
      </c>
      <c r="E429" s="103">
        <f>ROUND(13098*1.045,0)</f>
        <v>13687</v>
      </c>
      <c r="F429" s="104">
        <f>ROUND((D429*E429),0)</f>
        <v>985464</v>
      </c>
      <c r="G429" s="32"/>
      <c r="H429" s="112"/>
      <c r="I429" s="114"/>
    </row>
    <row r="430" spans="1:9" ht="42.75" x14ac:dyDescent="0.25">
      <c r="A430" s="118">
        <f t="shared" si="21"/>
        <v>17</v>
      </c>
      <c r="B430" s="42" t="s">
        <v>209</v>
      </c>
      <c r="C430" s="39" t="s">
        <v>12</v>
      </c>
      <c r="D430" s="40">
        <v>72</v>
      </c>
      <c r="E430" s="103">
        <v>32000</v>
      </c>
      <c r="F430" s="104">
        <f>ROUND((D430*E430),0)</f>
        <v>2304000</v>
      </c>
      <c r="G430" s="32"/>
      <c r="H430" s="112"/>
      <c r="I430" s="114"/>
    </row>
    <row r="431" spans="1:9" ht="29.25" x14ac:dyDescent="0.25">
      <c r="A431" s="118">
        <f t="shared" si="21"/>
        <v>18</v>
      </c>
      <c r="B431" s="38" t="s">
        <v>210</v>
      </c>
      <c r="C431" s="43" t="s">
        <v>78</v>
      </c>
      <c r="D431" s="44">
        <v>12</v>
      </c>
      <c r="E431" s="103">
        <f>ROUND(40379*1.045,0)</f>
        <v>42196</v>
      </c>
      <c r="F431" s="106">
        <f>SUM(D431*E431)</f>
        <v>506352</v>
      </c>
      <c r="G431" s="32"/>
      <c r="H431" s="112"/>
      <c r="I431" s="114"/>
    </row>
    <row r="432" spans="1:9" x14ac:dyDescent="0.25">
      <c r="A432" s="118">
        <f t="shared" si="21"/>
        <v>19</v>
      </c>
      <c r="B432" s="48" t="s">
        <v>79</v>
      </c>
      <c r="C432" s="45"/>
      <c r="D432" s="36"/>
      <c r="E432" s="103" t="s">
        <v>1</v>
      </c>
      <c r="F432" s="104"/>
      <c r="G432" s="32"/>
      <c r="H432" s="112"/>
      <c r="I432" s="114"/>
    </row>
    <row r="433" spans="1:10" x14ac:dyDescent="0.25">
      <c r="A433" s="118">
        <f t="shared" si="21"/>
        <v>20</v>
      </c>
      <c r="B433" s="38" t="s">
        <v>80</v>
      </c>
      <c r="C433" s="39" t="s">
        <v>12</v>
      </c>
      <c r="D433" s="40">
        <v>46</v>
      </c>
      <c r="E433" s="103">
        <f>ROUND(27450*1.045,0)</f>
        <v>28685</v>
      </c>
      <c r="F433" s="104">
        <f>ROUND((D433*E433),0)</f>
        <v>1319510</v>
      </c>
      <c r="G433" s="32"/>
      <c r="H433" s="112"/>
      <c r="I433" s="114"/>
    </row>
    <row r="434" spans="1:10" ht="30" x14ac:dyDescent="0.25">
      <c r="A434" s="118">
        <f t="shared" si="21"/>
        <v>21</v>
      </c>
      <c r="B434" s="48" t="s">
        <v>81</v>
      </c>
      <c r="C434" s="45"/>
      <c r="D434" s="36"/>
      <c r="E434" s="107"/>
      <c r="F434" s="104">
        <f>ROUND((D434*E434),0)</f>
        <v>0</v>
      </c>
      <c r="G434" s="32"/>
      <c r="H434" s="112"/>
      <c r="I434" s="114"/>
    </row>
    <row r="435" spans="1:10" ht="57" x14ac:dyDescent="0.25">
      <c r="A435" s="118">
        <f t="shared" si="21"/>
        <v>22</v>
      </c>
      <c r="B435" s="47" t="s">
        <v>82</v>
      </c>
      <c r="C435" s="39" t="s">
        <v>83</v>
      </c>
      <c r="D435" s="40">
        <v>12</v>
      </c>
      <c r="E435" s="103">
        <f>ROUND(223256*1.045,0)</f>
        <v>233303</v>
      </c>
      <c r="F435" s="104">
        <f>ROUND((D435*E435),0)</f>
        <v>2799636</v>
      </c>
      <c r="G435" s="32"/>
      <c r="H435" s="112"/>
      <c r="I435" s="114"/>
    </row>
    <row r="436" spans="1:10" x14ac:dyDescent="0.25">
      <c r="A436" s="118">
        <f t="shared" si="21"/>
        <v>23</v>
      </c>
      <c r="B436" s="48" t="s">
        <v>84</v>
      </c>
      <c r="C436" s="45"/>
      <c r="D436" s="36"/>
      <c r="E436" s="107"/>
      <c r="F436" s="104"/>
      <c r="G436" s="32"/>
      <c r="H436" s="112"/>
      <c r="I436" s="114"/>
    </row>
    <row r="437" spans="1:10" ht="29.25" x14ac:dyDescent="0.25">
      <c r="A437" s="118">
        <f t="shared" si="21"/>
        <v>24</v>
      </c>
      <c r="B437" s="38" t="s">
        <v>85</v>
      </c>
      <c r="C437" s="39" t="s">
        <v>74</v>
      </c>
      <c r="D437" s="40">
        <v>10</v>
      </c>
      <c r="E437" s="103">
        <f>ROUND(22686*1.045,0)</f>
        <v>23707</v>
      </c>
      <c r="F437" s="104">
        <f>ROUND((D437*E437),0)</f>
        <v>237070</v>
      </c>
      <c r="G437" s="32"/>
      <c r="H437" s="113"/>
      <c r="I437" s="113"/>
    </row>
    <row r="438" spans="1:10" ht="42.75" x14ac:dyDescent="0.25">
      <c r="A438" s="118">
        <f t="shared" si="21"/>
        <v>25</v>
      </c>
      <c r="B438" s="42" t="s">
        <v>177</v>
      </c>
      <c r="C438" s="39" t="s">
        <v>74</v>
      </c>
      <c r="D438" s="40">
        <v>200</v>
      </c>
      <c r="E438" s="103">
        <f>ROUND(92913*1.045,0)</f>
        <v>97094</v>
      </c>
      <c r="F438" s="104">
        <f>ROUND((D438*E438),0)</f>
        <v>19418800</v>
      </c>
      <c r="G438" s="32"/>
      <c r="H438" s="113"/>
      <c r="I438" s="113"/>
    </row>
    <row r="439" spans="1:10" ht="29.25" x14ac:dyDescent="0.25">
      <c r="A439" s="118">
        <f t="shared" si="21"/>
        <v>26</v>
      </c>
      <c r="B439" s="38" t="s">
        <v>86</v>
      </c>
      <c r="C439" s="39" t="s">
        <v>74</v>
      </c>
      <c r="D439" s="40">
        <v>18</v>
      </c>
      <c r="E439" s="103">
        <f>ROUND(104720*1.045,0)</f>
        <v>109432</v>
      </c>
      <c r="F439" s="104">
        <f>ROUND((D439*E439),0)</f>
        <v>1969776</v>
      </c>
      <c r="G439" s="32"/>
      <c r="H439" s="113"/>
      <c r="I439" s="113"/>
    </row>
    <row r="440" spans="1:10" ht="30" x14ac:dyDescent="0.25">
      <c r="A440" s="118">
        <f t="shared" si="21"/>
        <v>27</v>
      </c>
      <c r="B440" s="48" t="s">
        <v>87</v>
      </c>
      <c r="C440" s="45"/>
      <c r="D440" s="36"/>
      <c r="E440" s="107"/>
      <c r="F440" s="104"/>
      <c r="G440" s="32"/>
      <c r="H440" s="112"/>
      <c r="I440" s="112"/>
    </row>
    <row r="441" spans="1:10" ht="71.25" x14ac:dyDescent="0.25">
      <c r="A441" s="118">
        <f t="shared" si="21"/>
        <v>28</v>
      </c>
      <c r="B441" s="47" t="s">
        <v>178</v>
      </c>
      <c r="C441" s="39" t="s">
        <v>74</v>
      </c>
      <c r="D441" s="40">
        <v>10.92</v>
      </c>
      <c r="E441" s="103">
        <f>ROUND(106315*1.045,0)</f>
        <v>111099</v>
      </c>
      <c r="F441" s="104">
        <f>ROUND((D441*E441),0)</f>
        <v>1213201</v>
      </c>
      <c r="G441" s="32"/>
      <c r="H441" s="113"/>
      <c r="I441" s="113"/>
    </row>
    <row r="442" spans="1:10" ht="45" x14ac:dyDescent="0.25">
      <c r="A442" s="118">
        <f t="shared" si="21"/>
        <v>29</v>
      </c>
      <c r="B442" s="49" t="s">
        <v>88</v>
      </c>
      <c r="C442" s="45"/>
      <c r="D442" s="36"/>
      <c r="E442" s="107"/>
      <c r="F442" s="104"/>
      <c r="G442" s="32"/>
      <c r="H442" s="113"/>
      <c r="I442" s="113"/>
    </row>
    <row r="443" spans="1:10" ht="28.5" x14ac:dyDescent="0.25">
      <c r="A443" s="118">
        <f t="shared" si="21"/>
        <v>30</v>
      </c>
      <c r="B443" s="50" t="s">
        <v>179</v>
      </c>
      <c r="C443" s="39" t="s">
        <v>78</v>
      </c>
      <c r="D443" s="40">
        <v>2</v>
      </c>
      <c r="E443" s="103">
        <f>ROUND(92000*1.045,0)</f>
        <v>96140</v>
      </c>
      <c r="F443" s="104">
        <f>ROUND((D443*E443),0)</f>
        <v>192280</v>
      </c>
      <c r="G443" s="32"/>
      <c r="H443" s="112"/>
      <c r="I443" s="114"/>
    </row>
    <row r="444" spans="1:10" ht="57" x14ac:dyDescent="0.25">
      <c r="A444" s="118">
        <f t="shared" si="21"/>
        <v>31</v>
      </c>
      <c r="B444" s="50" t="s">
        <v>89</v>
      </c>
      <c r="C444" s="39" t="s">
        <v>12</v>
      </c>
      <c r="D444" s="40">
        <v>4</v>
      </c>
      <c r="E444" s="103">
        <f>ROUND(451034*1.045,0)</f>
        <v>471331</v>
      </c>
      <c r="F444" s="104">
        <f>ROUND((D444*E444),0)</f>
        <v>1885324</v>
      </c>
      <c r="G444" s="32"/>
      <c r="H444" s="112"/>
      <c r="I444" s="114"/>
    </row>
    <row r="445" spans="1:10" ht="42.75" x14ac:dyDescent="0.25">
      <c r="A445" s="118">
        <f t="shared" si="21"/>
        <v>32</v>
      </c>
      <c r="B445" s="50" t="s">
        <v>180</v>
      </c>
      <c r="C445" s="39" t="s">
        <v>78</v>
      </c>
      <c r="D445" s="40">
        <v>2</v>
      </c>
      <c r="E445" s="103">
        <f>ROUND(905000*1.045,0)</f>
        <v>945725</v>
      </c>
      <c r="F445" s="104">
        <f>ROUND((D445*E445),0)</f>
        <v>1891450</v>
      </c>
      <c r="G445" s="32"/>
      <c r="H445" s="112"/>
      <c r="I445" s="114"/>
    </row>
    <row r="446" spans="1:10" x14ac:dyDescent="0.25">
      <c r="A446" s="118">
        <f t="shared" si="21"/>
        <v>33</v>
      </c>
      <c r="B446" s="46" t="s">
        <v>90</v>
      </c>
      <c r="C446" s="45"/>
      <c r="D446" s="36"/>
      <c r="E446" s="107"/>
      <c r="F446" s="104"/>
      <c r="G446" s="32"/>
      <c r="H446" s="112"/>
      <c r="I446" s="114"/>
    </row>
    <row r="447" spans="1:10" ht="57" x14ac:dyDescent="0.25">
      <c r="A447" s="118">
        <f t="shared" si="21"/>
        <v>34</v>
      </c>
      <c r="B447" s="50" t="s">
        <v>91</v>
      </c>
      <c r="C447" s="39" t="s">
        <v>74</v>
      </c>
      <c r="D447" s="40">
        <v>285.56</v>
      </c>
      <c r="E447" s="103">
        <f>ROUND(28500*1.045,0)</f>
        <v>29783</v>
      </c>
      <c r="F447" s="104">
        <f>ROUND((D447*E447),0)</f>
        <v>8504833</v>
      </c>
      <c r="G447" s="32"/>
      <c r="H447" s="113"/>
      <c r="I447" s="113"/>
      <c r="J447" s="112"/>
    </row>
    <row r="448" spans="1:10" x14ac:dyDescent="0.25">
      <c r="A448" s="118">
        <f t="shared" si="21"/>
        <v>35</v>
      </c>
      <c r="B448" s="46" t="s">
        <v>92</v>
      </c>
      <c r="C448" s="45"/>
      <c r="D448" s="36"/>
      <c r="E448" s="107"/>
      <c r="F448" s="104"/>
      <c r="G448" s="32"/>
      <c r="H448" s="112"/>
      <c r="I448" s="112"/>
      <c r="J448" s="112"/>
    </row>
    <row r="449" spans="1:10" ht="29.25" x14ac:dyDescent="0.25">
      <c r="A449" s="118">
        <f t="shared" si="21"/>
        <v>36</v>
      </c>
      <c r="B449" s="38" t="s">
        <v>67</v>
      </c>
      <c r="C449" s="39" t="s">
        <v>74</v>
      </c>
      <c r="D449" s="40">
        <v>2.7</v>
      </c>
      <c r="E449" s="103">
        <f>ROUND(573000*1.045,0)</f>
        <v>598785</v>
      </c>
      <c r="F449" s="104">
        <f t="shared" ref="F449:F450" si="23">ROUND((D449*E449),0)</f>
        <v>1616720</v>
      </c>
      <c r="G449" s="32"/>
      <c r="H449" s="113"/>
      <c r="I449" s="113"/>
      <c r="J449" s="112"/>
    </row>
    <row r="450" spans="1:10" ht="42.75" x14ac:dyDescent="0.25">
      <c r="A450" s="118">
        <f t="shared" si="21"/>
        <v>37</v>
      </c>
      <c r="B450" s="42" t="s">
        <v>181</v>
      </c>
      <c r="C450" s="39" t="s">
        <v>14</v>
      </c>
      <c r="D450" s="40">
        <v>20</v>
      </c>
      <c r="E450" s="103">
        <f>ROUND(65000*1.045,0)</f>
        <v>67925</v>
      </c>
      <c r="F450" s="104">
        <f t="shared" si="23"/>
        <v>1358500</v>
      </c>
      <c r="G450" s="32"/>
      <c r="H450" s="113"/>
      <c r="I450" s="113"/>
      <c r="J450" s="112"/>
    </row>
    <row r="451" spans="1:10" x14ac:dyDescent="0.25">
      <c r="A451" s="118">
        <f t="shared" si="21"/>
        <v>38</v>
      </c>
      <c r="B451" s="48" t="s">
        <v>41</v>
      </c>
      <c r="C451" s="45"/>
      <c r="D451" s="36"/>
      <c r="E451" s="107"/>
      <c r="F451" s="104"/>
      <c r="G451" s="32"/>
      <c r="H451" s="112"/>
      <c r="I451" s="112"/>
      <c r="J451" s="112"/>
    </row>
    <row r="452" spans="1:10" ht="57" x14ac:dyDescent="0.25">
      <c r="A452" s="118">
        <f t="shared" si="21"/>
        <v>39</v>
      </c>
      <c r="B452" s="47" t="s">
        <v>93</v>
      </c>
      <c r="C452" s="39" t="s">
        <v>94</v>
      </c>
      <c r="D452" s="40">
        <v>180</v>
      </c>
      <c r="E452" s="103">
        <f>ROUND(5850*1.045,0)</f>
        <v>6113</v>
      </c>
      <c r="F452" s="104">
        <f>ROUND((D452*E452),0)</f>
        <v>1100340</v>
      </c>
      <c r="G452" s="32"/>
      <c r="H452" s="113"/>
      <c r="I452" s="113"/>
      <c r="J452" s="112"/>
    </row>
    <row r="453" spans="1:10" x14ac:dyDescent="0.25">
      <c r="A453" s="116"/>
      <c r="B453" s="13" t="s">
        <v>46</v>
      </c>
      <c r="C453" s="23"/>
      <c r="D453" s="57"/>
      <c r="E453" s="16"/>
      <c r="F453" s="30">
        <f>SUM(F415:F452)</f>
        <v>65872181</v>
      </c>
      <c r="G453" s="32"/>
      <c r="H453" s="112"/>
      <c r="I453" s="112"/>
      <c r="J453" s="112"/>
    </row>
    <row r="454" spans="1:10" x14ac:dyDescent="0.25">
      <c r="A454" s="14"/>
      <c r="B454" s="14" t="s">
        <v>49</v>
      </c>
      <c r="C454" s="14"/>
      <c r="D454" s="14"/>
      <c r="E454" s="14"/>
      <c r="F454" s="17">
        <f>ROUND(F453/1.3495,0)</f>
        <v>48812287</v>
      </c>
      <c r="G454" s="32"/>
      <c r="H454" s="113"/>
      <c r="I454" s="113"/>
      <c r="J454" s="112"/>
    </row>
    <row r="455" spans="1:10" x14ac:dyDescent="0.25">
      <c r="A455" s="14"/>
      <c r="B455" s="14" t="s">
        <v>50</v>
      </c>
      <c r="C455" s="58">
        <v>0.24</v>
      </c>
      <c r="D455" s="14"/>
      <c r="E455" s="14"/>
      <c r="F455" s="17">
        <f>ROUND(F454*C455,0)</f>
        <v>11714949</v>
      </c>
      <c r="G455" s="32"/>
      <c r="H455" s="112"/>
      <c r="I455" s="112"/>
      <c r="J455" s="112"/>
    </row>
    <row r="456" spans="1:10" x14ac:dyDescent="0.25">
      <c r="A456" s="14"/>
      <c r="B456" s="14" t="s">
        <v>47</v>
      </c>
      <c r="C456" s="58">
        <v>0.05</v>
      </c>
      <c r="D456" s="14"/>
      <c r="E456" s="14"/>
      <c r="F456" s="17">
        <f>ROUND(F454*C456,0)</f>
        <v>2440614</v>
      </c>
      <c r="G456" s="32"/>
      <c r="H456" s="115"/>
      <c r="I456" s="115"/>
      <c r="J456" s="115"/>
    </row>
    <row r="457" spans="1:10" x14ac:dyDescent="0.25">
      <c r="A457" s="14"/>
      <c r="B457" s="14" t="s">
        <v>51</v>
      </c>
      <c r="C457" s="58">
        <v>0.05</v>
      </c>
      <c r="D457" s="14"/>
      <c r="E457" s="14"/>
      <c r="F457" s="17">
        <f>ROUND(F454*C457,0)</f>
        <v>2440614</v>
      </c>
      <c r="G457" s="32"/>
      <c r="H457" s="115"/>
      <c r="I457" s="115"/>
      <c r="J457" s="115"/>
    </row>
    <row r="458" spans="1:10" x14ac:dyDescent="0.25">
      <c r="A458" s="14"/>
      <c r="B458" s="59" t="s">
        <v>52</v>
      </c>
      <c r="C458" s="60">
        <v>0.19</v>
      </c>
      <c r="D458" s="51"/>
      <c r="E458" s="51"/>
      <c r="F458" s="21">
        <f>ROUND(F457*19%,0)</f>
        <v>463717</v>
      </c>
      <c r="G458" s="32"/>
      <c r="H458" s="1"/>
    </row>
    <row r="459" spans="1:10" x14ac:dyDescent="0.25">
      <c r="A459" s="14"/>
      <c r="B459" s="13" t="s">
        <v>46</v>
      </c>
      <c r="C459" s="14"/>
      <c r="D459" s="14"/>
      <c r="E459" s="14"/>
      <c r="F459" s="18">
        <f>SUM(F454:F458)</f>
        <v>65872181</v>
      </c>
      <c r="G459" s="32"/>
    </row>
    <row r="460" spans="1:10" ht="15.75" thickBot="1" x14ac:dyDescent="0.3">
      <c r="A460" s="32"/>
      <c r="B460" s="32"/>
      <c r="C460" s="32"/>
      <c r="D460" s="32"/>
      <c r="E460" s="32"/>
      <c r="F460" s="32"/>
      <c r="G460" s="32"/>
    </row>
    <row r="461" spans="1:10" ht="51" customHeight="1" thickBot="1" x14ac:dyDescent="0.3">
      <c r="A461" s="168" t="str">
        <f>'[1]Carrera 8  entre calles28ALCAN '!A3</f>
        <v>REPOSICIÓN RED DE  ACUEDUCTO EN LA CALLE 37 ENTRE CARRERAS 7 Y 9   EN EL MUNICIPIO DE SUPIA CALDAS</v>
      </c>
      <c r="B461" s="169"/>
      <c r="C461" s="169"/>
      <c r="D461" s="169"/>
      <c r="E461" s="169"/>
      <c r="F461" s="170"/>
      <c r="G461" s="32"/>
    </row>
    <row r="462" spans="1:10" ht="15.75" thickBot="1" x14ac:dyDescent="0.3">
      <c r="A462" s="171" t="s">
        <v>4</v>
      </c>
      <c r="B462" s="73" t="s">
        <v>0</v>
      </c>
      <c r="C462" s="171" t="s">
        <v>5</v>
      </c>
      <c r="D462" s="173" t="s">
        <v>6</v>
      </c>
      <c r="E462" s="174"/>
      <c r="F462" s="175"/>
      <c r="G462" s="32"/>
    </row>
    <row r="463" spans="1:10" x14ac:dyDescent="0.25">
      <c r="A463" s="172"/>
      <c r="B463" s="74"/>
      <c r="C463" s="172"/>
      <c r="D463" s="75" t="s">
        <v>7</v>
      </c>
      <c r="E463" s="76" t="s">
        <v>8</v>
      </c>
      <c r="F463" s="77" t="s">
        <v>9</v>
      </c>
      <c r="G463" s="124"/>
    </row>
    <row r="464" spans="1:10" x14ac:dyDescent="0.25">
      <c r="A464" s="84">
        <v>1</v>
      </c>
      <c r="B464" s="85" t="s">
        <v>228</v>
      </c>
      <c r="C464" s="86"/>
      <c r="D464" s="87"/>
      <c r="E464" s="88"/>
      <c r="F464" s="89"/>
      <c r="G464" s="138"/>
    </row>
    <row r="465" spans="1:7" x14ac:dyDescent="0.25">
      <c r="A465" s="78">
        <f>A464+1</f>
        <v>2</v>
      </c>
      <c r="B465" s="79" t="s">
        <v>56</v>
      </c>
      <c r="C465" s="80" t="s">
        <v>99</v>
      </c>
      <c r="D465" s="81">
        <v>84</v>
      </c>
      <c r="E465" s="70">
        <v>4300</v>
      </c>
      <c r="F465" s="104">
        <f t="shared" ref="F465:F468" si="24">ROUND((D465*E465),0)</f>
        <v>361200</v>
      </c>
      <c r="G465" s="138"/>
    </row>
    <row r="466" spans="1:7" ht="43.5" x14ac:dyDescent="0.25">
      <c r="A466" s="78">
        <f t="shared" ref="A466:A488" si="25">A465+1</f>
        <v>3</v>
      </c>
      <c r="B466" s="91" t="s">
        <v>245</v>
      </c>
      <c r="C466" s="80" t="s">
        <v>99</v>
      </c>
      <c r="D466" s="81">
        <v>170</v>
      </c>
      <c r="E466" s="70">
        <v>12600</v>
      </c>
      <c r="F466" s="104">
        <f t="shared" si="24"/>
        <v>2142000</v>
      </c>
      <c r="G466" s="138"/>
    </row>
    <row r="467" spans="1:7" ht="43.5" x14ac:dyDescent="0.25">
      <c r="A467" s="78">
        <f t="shared" si="25"/>
        <v>4</v>
      </c>
      <c r="B467" s="92" t="s">
        <v>246</v>
      </c>
      <c r="C467" s="80" t="s">
        <v>234</v>
      </c>
      <c r="D467" s="81">
        <v>2</v>
      </c>
      <c r="E467" s="70">
        <v>165000</v>
      </c>
      <c r="F467" s="104">
        <f t="shared" si="24"/>
        <v>330000</v>
      </c>
      <c r="G467" s="138"/>
    </row>
    <row r="468" spans="1:7" ht="29.25" x14ac:dyDescent="0.25">
      <c r="A468" s="78">
        <f t="shared" si="25"/>
        <v>5</v>
      </c>
      <c r="B468" s="92" t="s">
        <v>247</v>
      </c>
      <c r="C468" s="80" t="s">
        <v>234</v>
      </c>
      <c r="D468" s="81">
        <v>1</v>
      </c>
      <c r="E468" s="70">
        <v>660000</v>
      </c>
      <c r="F468" s="104">
        <f t="shared" si="24"/>
        <v>660000</v>
      </c>
      <c r="G468" s="138"/>
    </row>
    <row r="469" spans="1:7" x14ac:dyDescent="0.25">
      <c r="A469" s="78">
        <f t="shared" si="25"/>
        <v>6</v>
      </c>
      <c r="B469" s="93" t="s">
        <v>19</v>
      </c>
      <c r="C469" s="86"/>
      <c r="D469" s="87"/>
      <c r="E469" s="90"/>
      <c r="F469" s="89"/>
      <c r="G469" s="138"/>
    </row>
    <row r="470" spans="1:7" ht="29.25" x14ac:dyDescent="0.25">
      <c r="A470" s="78">
        <f t="shared" si="25"/>
        <v>7</v>
      </c>
      <c r="B470" s="92" t="s">
        <v>229</v>
      </c>
      <c r="C470" s="80" t="s">
        <v>98</v>
      </c>
      <c r="D470" s="81">
        <v>114</v>
      </c>
      <c r="E470" s="70">
        <v>94500</v>
      </c>
      <c r="F470" s="104">
        <f t="shared" ref="F470:F488" si="26">ROUND((D470*E470),0)</f>
        <v>10773000</v>
      </c>
      <c r="G470" s="138"/>
    </row>
    <row r="471" spans="1:7" x14ac:dyDescent="0.25">
      <c r="A471" s="78">
        <f t="shared" si="25"/>
        <v>8</v>
      </c>
      <c r="B471" s="92" t="s">
        <v>230</v>
      </c>
      <c r="C471" s="80" t="s">
        <v>99</v>
      </c>
      <c r="D471" s="81">
        <v>150</v>
      </c>
      <c r="E471" s="70">
        <v>9300</v>
      </c>
      <c r="F471" s="104">
        <f t="shared" si="26"/>
        <v>1395000</v>
      </c>
      <c r="G471" s="138"/>
    </row>
    <row r="472" spans="1:7" x14ac:dyDescent="0.25">
      <c r="A472" s="78">
        <f t="shared" si="25"/>
        <v>9</v>
      </c>
      <c r="B472" s="93" t="s">
        <v>22</v>
      </c>
      <c r="C472" s="86"/>
      <c r="D472" s="87"/>
      <c r="E472" s="90"/>
      <c r="F472" s="104">
        <f t="shared" si="26"/>
        <v>0</v>
      </c>
      <c r="G472" s="138"/>
    </row>
    <row r="473" spans="1:7" ht="29.25" x14ac:dyDescent="0.25">
      <c r="A473" s="78">
        <f t="shared" si="25"/>
        <v>10</v>
      </c>
      <c r="B473" s="92" t="s">
        <v>231</v>
      </c>
      <c r="C473" s="80" t="s">
        <v>98</v>
      </c>
      <c r="D473" s="81">
        <v>150</v>
      </c>
      <c r="E473" s="70">
        <v>38000</v>
      </c>
      <c r="F473" s="104">
        <f t="shared" si="26"/>
        <v>5700000</v>
      </c>
      <c r="G473" s="138"/>
    </row>
    <row r="474" spans="1:7" ht="30" x14ac:dyDescent="0.25">
      <c r="A474" s="78">
        <f t="shared" si="25"/>
        <v>11</v>
      </c>
      <c r="B474" s="93" t="s">
        <v>174</v>
      </c>
      <c r="C474" s="86"/>
      <c r="D474" s="87"/>
      <c r="E474" s="90"/>
      <c r="F474" s="104">
        <f t="shared" si="26"/>
        <v>0</v>
      </c>
      <c r="G474" s="138"/>
    </row>
    <row r="475" spans="1:7" ht="34.5" customHeight="1" x14ac:dyDescent="0.25">
      <c r="A475" s="78">
        <f t="shared" si="25"/>
        <v>12</v>
      </c>
      <c r="B475" s="92" t="s">
        <v>232</v>
      </c>
      <c r="C475" s="80" t="s">
        <v>99</v>
      </c>
      <c r="D475" s="81">
        <v>84</v>
      </c>
      <c r="E475" s="70">
        <v>3962</v>
      </c>
      <c r="F475" s="104">
        <f t="shared" si="26"/>
        <v>332808</v>
      </c>
      <c r="G475" s="138"/>
    </row>
    <row r="476" spans="1:7" ht="45.75" customHeight="1" x14ac:dyDescent="0.25">
      <c r="A476" s="78">
        <f t="shared" si="25"/>
        <v>13</v>
      </c>
      <c r="B476" s="92" t="s">
        <v>233</v>
      </c>
      <c r="C476" s="80" t="s">
        <v>234</v>
      </c>
      <c r="D476" s="81">
        <v>2</v>
      </c>
      <c r="E476" s="70">
        <v>75000</v>
      </c>
      <c r="F476" s="104">
        <f t="shared" si="26"/>
        <v>150000</v>
      </c>
      <c r="G476" s="138"/>
    </row>
    <row r="477" spans="1:7" ht="29.25" x14ac:dyDescent="0.25">
      <c r="A477" s="78">
        <f t="shared" si="25"/>
        <v>14</v>
      </c>
      <c r="B477" s="83" t="s">
        <v>235</v>
      </c>
      <c r="C477" s="80" t="s">
        <v>234</v>
      </c>
      <c r="D477" s="81">
        <v>1</v>
      </c>
      <c r="E477" s="82">
        <v>6780</v>
      </c>
      <c r="F477" s="104">
        <f t="shared" si="26"/>
        <v>6780</v>
      </c>
      <c r="G477" s="138"/>
    </row>
    <row r="478" spans="1:7" ht="103.5" customHeight="1" x14ac:dyDescent="0.25">
      <c r="A478" s="78">
        <f t="shared" si="25"/>
        <v>15</v>
      </c>
      <c r="B478" s="83" t="s">
        <v>236</v>
      </c>
      <c r="C478" s="80" t="s">
        <v>234</v>
      </c>
      <c r="D478" s="81">
        <v>20</v>
      </c>
      <c r="E478" s="82">
        <v>42039</v>
      </c>
      <c r="F478" s="104">
        <f t="shared" si="26"/>
        <v>840780</v>
      </c>
      <c r="G478" s="138"/>
    </row>
    <row r="479" spans="1:7" x14ac:dyDescent="0.25">
      <c r="A479" s="78">
        <f t="shared" si="25"/>
        <v>16</v>
      </c>
      <c r="B479" s="93" t="s">
        <v>84</v>
      </c>
      <c r="C479" s="86"/>
      <c r="D479" s="87"/>
      <c r="E479" s="90"/>
      <c r="F479" s="104">
        <f t="shared" si="26"/>
        <v>0</v>
      </c>
      <c r="G479" s="138"/>
    </row>
    <row r="480" spans="1:7" ht="43.5" x14ac:dyDescent="0.25">
      <c r="A480" s="78">
        <f t="shared" si="25"/>
        <v>17</v>
      </c>
      <c r="B480" s="92" t="s">
        <v>237</v>
      </c>
      <c r="C480" s="80" t="s">
        <v>98</v>
      </c>
      <c r="D480" s="81">
        <v>95.76</v>
      </c>
      <c r="E480" s="70">
        <v>134950</v>
      </c>
      <c r="F480" s="104">
        <f t="shared" si="26"/>
        <v>12922812</v>
      </c>
      <c r="G480" s="138"/>
    </row>
    <row r="481" spans="1:7" ht="32.25" customHeight="1" x14ac:dyDescent="0.25">
      <c r="A481" s="78">
        <f t="shared" si="25"/>
        <v>18</v>
      </c>
      <c r="B481" s="92" t="s">
        <v>238</v>
      </c>
      <c r="C481" s="80" t="s">
        <v>98</v>
      </c>
      <c r="D481" s="81">
        <v>7</v>
      </c>
      <c r="E481" s="70">
        <v>95000</v>
      </c>
      <c r="F481" s="104">
        <f t="shared" si="26"/>
        <v>665000</v>
      </c>
      <c r="G481" s="138"/>
    </row>
    <row r="482" spans="1:7" ht="30" x14ac:dyDescent="0.25">
      <c r="A482" s="78">
        <f t="shared" si="25"/>
        <v>19</v>
      </c>
      <c r="B482" s="93" t="s">
        <v>90</v>
      </c>
      <c r="C482" s="86"/>
      <c r="D482" s="87"/>
      <c r="E482" s="90"/>
      <c r="F482" s="104">
        <f t="shared" si="26"/>
        <v>0</v>
      </c>
      <c r="G482" s="138"/>
    </row>
    <row r="483" spans="1:7" ht="62.25" customHeight="1" x14ac:dyDescent="0.25">
      <c r="A483" s="78">
        <f t="shared" si="25"/>
        <v>20</v>
      </c>
      <c r="B483" s="83" t="s">
        <v>239</v>
      </c>
      <c r="C483" s="80" t="s">
        <v>74</v>
      </c>
      <c r="D483" s="81">
        <v>153.17000000000002</v>
      </c>
      <c r="E483" s="70">
        <v>29300</v>
      </c>
      <c r="F483" s="104">
        <f t="shared" si="26"/>
        <v>4487881</v>
      </c>
      <c r="G483" s="138"/>
    </row>
    <row r="484" spans="1:7" x14ac:dyDescent="0.25">
      <c r="A484" s="78">
        <f t="shared" si="25"/>
        <v>21</v>
      </c>
      <c r="B484" s="93" t="s">
        <v>240</v>
      </c>
      <c r="C484" s="86"/>
      <c r="D484" s="87"/>
      <c r="E484" s="90"/>
      <c r="F484" s="104">
        <f t="shared" si="26"/>
        <v>0</v>
      </c>
      <c r="G484" s="138"/>
    </row>
    <row r="485" spans="1:7" ht="29.25" x14ac:dyDescent="0.25">
      <c r="A485" s="78">
        <f t="shared" si="25"/>
        <v>22</v>
      </c>
      <c r="B485" s="92" t="s">
        <v>241</v>
      </c>
      <c r="C485" s="80" t="s">
        <v>74</v>
      </c>
      <c r="D485" s="81">
        <v>92.82</v>
      </c>
      <c r="E485" s="70">
        <v>724560</v>
      </c>
      <c r="F485" s="104">
        <f t="shared" si="26"/>
        <v>67253659</v>
      </c>
      <c r="G485" s="138"/>
    </row>
    <row r="486" spans="1:7" x14ac:dyDescent="0.25">
      <c r="A486" s="78">
        <f t="shared" si="25"/>
        <v>23</v>
      </c>
      <c r="B486" s="93" t="s">
        <v>242</v>
      </c>
      <c r="C486" s="86"/>
      <c r="D486" s="87"/>
      <c r="E486" s="90"/>
      <c r="F486" s="104">
        <f t="shared" si="26"/>
        <v>0</v>
      </c>
      <c r="G486" s="138"/>
    </row>
    <row r="487" spans="1:7" ht="43.5" x14ac:dyDescent="0.25">
      <c r="A487" s="78">
        <f t="shared" si="25"/>
        <v>24</v>
      </c>
      <c r="B487" s="92" t="s">
        <v>243</v>
      </c>
      <c r="C487" s="80" t="s">
        <v>12</v>
      </c>
      <c r="D487" s="81">
        <v>156</v>
      </c>
      <c r="E487" s="70">
        <v>16500</v>
      </c>
      <c r="F487" s="104">
        <f t="shared" si="26"/>
        <v>2574000</v>
      </c>
      <c r="G487" s="138"/>
    </row>
    <row r="488" spans="1:7" ht="35.25" customHeight="1" x14ac:dyDescent="0.25">
      <c r="A488" s="78">
        <f t="shared" si="25"/>
        <v>25</v>
      </c>
      <c r="B488" s="83" t="s">
        <v>244</v>
      </c>
      <c r="C488" s="80" t="s">
        <v>94</v>
      </c>
      <c r="D488" s="81">
        <v>667</v>
      </c>
      <c r="E488" s="82">
        <v>4500</v>
      </c>
      <c r="F488" s="104">
        <f t="shared" si="26"/>
        <v>3001500</v>
      </c>
      <c r="G488" s="138"/>
    </row>
    <row r="489" spans="1:7" x14ac:dyDescent="0.25">
      <c r="A489" s="116"/>
      <c r="B489" s="13" t="s">
        <v>46</v>
      </c>
      <c r="C489" s="23"/>
      <c r="D489" s="57"/>
      <c r="E489" s="16"/>
      <c r="F489" s="30">
        <f>SUM(F464:F488)</f>
        <v>113596420</v>
      </c>
      <c r="G489" s="32"/>
    </row>
    <row r="490" spans="1:7" x14ac:dyDescent="0.25">
      <c r="A490" s="14"/>
      <c r="B490" s="14" t="s">
        <v>49</v>
      </c>
      <c r="C490" s="14"/>
      <c r="D490" s="14"/>
      <c r="E490" s="14"/>
      <c r="F490" s="17">
        <f>ROUND(F489/1.3495,0)</f>
        <v>84176673</v>
      </c>
      <c r="G490" s="32"/>
    </row>
    <row r="491" spans="1:7" x14ac:dyDescent="0.25">
      <c r="A491" s="14"/>
      <c r="B491" s="14" t="s">
        <v>50</v>
      </c>
      <c r="C491" s="58">
        <v>0.24</v>
      </c>
      <c r="D491" s="14"/>
      <c r="E491" s="14"/>
      <c r="F491" s="17">
        <f>ROUND(F490*C491,0)</f>
        <v>20202402</v>
      </c>
      <c r="G491" s="32"/>
    </row>
    <row r="492" spans="1:7" x14ac:dyDescent="0.25">
      <c r="A492" s="14"/>
      <c r="B492" s="14" t="s">
        <v>47</v>
      </c>
      <c r="C492" s="58">
        <v>0.05</v>
      </c>
      <c r="D492" s="14"/>
      <c r="E492" s="14"/>
      <c r="F492" s="17">
        <f>ROUND(F490*C492,0)</f>
        <v>4208834</v>
      </c>
      <c r="G492" s="32"/>
    </row>
    <row r="493" spans="1:7" x14ac:dyDescent="0.25">
      <c r="A493" s="14"/>
      <c r="B493" s="14" t="s">
        <v>51</v>
      </c>
      <c r="C493" s="58">
        <v>0.05</v>
      </c>
      <c r="D493" s="14"/>
      <c r="E493" s="14"/>
      <c r="F493" s="17">
        <f>ROUND(F490*C493,0)</f>
        <v>4208834</v>
      </c>
      <c r="G493" s="32"/>
    </row>
    <row r="494" spans="1:7" x14ac:dyDescent="0.25">
      <c r="A494" s="14"/>
      <c r="B494" s="59" t="s">
        <v>52</v>
      </c>
      <c r="C494" s="60">
        <v>0.19</v>
      </c>
      <c r="D494" s="51"/>
      <c r="E494" s="51"/>
      <c r="F494" s="21">
        <f>ROUND(F493*19%,0)</f>
        <v>799678</v>
      </c>
      <c r="G494" s="32"/>
    </row>
    <row r="495" spans="1:7" x14ac:dyDescent="0.25">
      <c r="A495" s="14"/>
      <c r="B495" s="13" t="s">
        <v>46</v>
      </c>
      <c r="C495" s="14"/>
      <c r="D495" s="14"/>
      <c r="E495" s="14"/>
      <c r="F495" s="18">
        <f>SUM(F490:F494)</f>
        <v>113596421</v>
      </c>
      <c r="G495" s="32"/>
    </row>
    <row r="496" spans="1:7" x14ac:dyDescent="0.25">
      <c r="A496" s="32"/>
      <c r="B496" s="32"/>
      <c r="C496" s="32"/>
      <c r="D496" s="32"/>
      <c r="E496" s="32"/>
      <c r="F496" s="32"/>
      <c r="G496" s="32"/>
    </row>
    <row r="497" spans="1:13" x14ac:dyDescent="0.25">
      <c r="A497" s="32"/>
      <c r="B497" s="32"/>
      <c r="C497" s="32"/>
      <c r="D497" s="32"/>
      <c r="E497" s="32"/>
      <c r="F497" s="32"/>
      <c r="G497" s="32"/>
    </row>
    <row r="498" spans="1:13" ht="15.75" x14ac:dyDescent="0.25">
      <c r="A498" s="32"/>
      <c r="B498" s="180" t="s">
        <v>211</v>
      </c>
      <c r="C498" s="180"/>
      <c r="D498" s="32"/>
      <c r="E498" s="32"/>
      <c r="F498" s="71">
        <f>F453+F403+F495</f>
        <v>242248056</v>
      </c>
      <c r="G498" s="31"/>
      <c r="H498" s="2"/>
      <c r="K498" s="64"/>
      <c r="L498" s="68"/>
      <c r="M498" s="69"/>
    </row>
    <row r="499" spans="1:13" x14ac:dyDescent="0.25">
      <c r="A499" s="32"/>
      <c r="B499" s="32"/>
      <c r="C499" s="32"/>
      <c r="D499" s="32"/>
      <c r="E499" s="32"/>
      <c r="F499" s="32"/>
      <c r="G499" s="32"/>
    </row>
    <row r="500" spans="1:13" x14ac:dyDescent="0.25">
      <c r="A500" s="32"/>
      <c r="B500" s="32"/>
      <c r="C500" s="32"/>
      <c r="D500" s="32"/>
      <c r="E500" s="32"/>
      <c r="F500" s="32"/>
      <c r="G500" s="32"/>
    </row>
    <row r="501" spans="1:13" x14ac:dyDescent="0.25">
      <c r="A501" s="32"/>
      <c r="B501" s="179" t="s">
        <v>218</v>
      </c>
      <c r="C501" s="179"/>
      <c r="D501" s="32"/>
      <c r="E501" s="32"/>
      <c r="F501" s="32"/>
      <c r="G501" s="32"/>
    </row>
    <row r="502" spans="1:13" x14ac:dyDescent="0.25">
      <c r="A502" s="32"/>
      <c r="B502" s="32"/>
      <c r="C502" s="32"/>
      <c r="D502" s="32"/>
      <c r="E502" s="32"/>
      <c r="F502" s="32"/>
      <c r="G502" s="32"/>
    </row>
    <row r="503" spans="1:13" x14ac:dyDescent="0.25">
      <c r="A503" s="158" t="s">
        <v>212</v>
      </c>
      <c r="B503" s="158"/>
      <c r="C503" s="158"/>
      <c r="D503" s="158"/>
      <c r="E503" s="158"/>
      <c r="F503" s="158"/>
      <c r="G503" s="32"/>
    </row>
    <row r="504" spans="1:13" x14ac:dyDescent="0.25">
      <c r="A504" s="157" t="s">
        <v>4</v>
      </c>
      <c r="B504" s="157" t="s">
        <v>0</v>
      </c>
      <c r="C504" s="157" t="s">
        <v>5</v>
      </c>
      <c r="D504" s="157" t="s">
        <v>6</v>
      </c>
      <c r="E504" s="157"/>
      <c r="F504" s="157"/>
      <c r="G504" s="32"/>
    </row>
    <row r="505" spans="1:13" x14ac:dyDescent="0.25">
      <c r="A505" s="157"/>
      <c r="B505" s="157"/>
      <c r="C505" s="157"/>
      <c r="D505" s="23" t="s">
        <v>7</v>
      </c>
      <c r="E505" s="23" t="s">
        <v>8</v>
      </c>
      <c r="F505" s="23" t="s">
        <v>9</v>
      </c>
      <c r="G505" s="32"/>
    </row>
    <row r="506" spans="1:13" x14ac:dyDescent="0.25">
      <c r="A506" s="116">
        <v>1</v>
      </c>
      <c r="B506" s="13" t="s">
        <v>10</v>
      </c>
      <c r="C506" s="157"/>
      <c r="D506" s="157"/>
      <c r="E506" s="157"/>
      <c r="F506" s="15"/>
      <c r="G506" s="32"/>
    </row>
    <row r="507" spans="1:13" x14ac:dyDescent="0.25">
      <c r="A507" s="118">
        <v>2</v>
      </c>
      <c r="B507" s="24" t="s">
        <v>58</v>
      </c>
      <c r="C507" s="123" t="s">
        <v>12</v>
      </c>
      <c r="D507" s="29">
        <v>744</v>
      </c>
      <c r="E507" s="120">
        <v>5230</v>
      </c>
      <c r="F507" s="41">
        <f t="shared" ref="F507:F537" si="27">ROUND((D507*E507),0)</f>
        <v>3891120</v>
      </c>
      <c r="G507" s="32"/>
    </row>
    <row r="508" spans="1:13" ht="28.5" x14ac:dyDescent="0.25">
      <c r="A508" s="116">
        <v>3</v>
      </c>
      <c r="B508" s="7" t="s">
        <v>213</v>
      </c>
      <c r="C508" s="123" t="s">
        <v>12</v>
      </c>
      <c r="D508" s="29">
        <v>744</v>
      </c>
      <c r="E508" s="119">
        <v>6500</v>
      </c>
      <c r="F508" s="41">
        <f t="shared" si="27"/>
        <v>4836000</v>
      </c>
      <c r="G508" s="32"/>
    </row>
    <row r="509" spans="1:13" x14ac:dyDescent="0.25">
      <c r="A509" s="118">
        <v>4</v>
      </c>
      <c r="B509" s="24" t="s">
        <v>16</v>
      </c>
      <c r="C509" s="123" t="s">
        <v>78</v>
      </c>
      <c r="D509" s="29">
        <v>2</v>
      </c>
      <c r="E509" s="120">
        <v>155814</v>
      </c>
      <c r="F509" s="41">
        <f t="shared" si="27"/>
        <v>311628</v>
      </c>
      <c r="G509" s="32"/>
    </row>
    <row r="510" spans="1:13" x14ac:dyDescent="0.25">
      <c r="A510" s="116">
        <v>5</v>
      </c>
      <c r="B510" s="24" t="s">
        <v>18</v>
      </c>
      <c r="C510" s="123" t="s">
        <v>78</v>
      </c>
      <c r="D510" s="29">
        <v>1</v>
      </c>
      <c r="E510" s="120">
        <v>788768</v>
      </c>
      <c r="F510" s="41">
        <f t="shared" si="27"/>
        <v>788768</v>
      </c>
      <c r="G510" s="32"/>
    </row>
    <row r="511" spans="1:13" x14ac:dyDescent="0.25">
      <c r="A511" s="118">
        <v>6</v>
      </c>
      <c r="B511" s="13" t="s">
        <v>19</v>
      </c>
      <c r="C511" s="15"/>
      <c r="D511" s="15"/>
      <c r="E511" s="120">
        <v>0</v>
      </c>
      <c r="F511" s="41">
        <f t="shared" si="27"/>
        <v>0</v>
      </c>
      <c r="G511" s="32"/>
    </row>
    <row r="512" spans="1:13" x14ac:dyDescent="0.25">
      <c r="A512" s="116">
        <v>7</v>
      </c>
      <c r="B512" s="25" t="s">
        <v>20</v>
      </c>
      <c r="C512" s="123" t="s">
        <v>12</v>
      </c>
      <c r="D512" s="29">
        <v>10</v>
      </c>
      <c r="E512" s="120">
        <v>7652</v>
      </c>
      <c r="F512" s="41">
        <f t="shared" si="27"/>
        <v>76520</v>
      </c>
      <c r="G512" s="32"/>
    </row>
    <row r="513" spans="1:7" ht="43.5" x14ac:dyDescent="0.25">
      <c r="A513" s="118">
        <v>8</v>
      </c>
      <c r="B513" s="12" t="s">
        <v>21</v>
      </c>
      <c r="C513" s="123" t="s">
        <v>53</v>
      </c>
      <c r="D513" s="29">
        <v>1</v>
      </c>
      <c r="E513" s="120">
        <v>83560</v>
      </c>
      <c r="F513" s="41">
        <f t="shared" si="27"/>
        <v>83560</v>
      </c>
      <c r="G513" s="32"/>
    </row>
    <row r="514" spans="1:7" x14ac:dyDescent="0.25">
      <c r="A514" s="116">
        <v>9</v>
      </c>
      <c r="B514" s="13" t="s">
        <v>22</v>
      </c>
      <c r="C514" s="15"/>
      <c r="D514" s="15"/>
      <c r="E514" s="120">
        <v>0</v>
      </c>
      <c r="F514" s="41">
        <f t="shared" si="27"/>
        <v>0</v>
      </c>
      <c r="G514" s="32"/>
    </row>
    <row r="515" spans="1:7" x14ac:dyDescent="0.25">
      <c r="A515" s="118">
        <v>10</v>
      </c>
      <c r="B515" s="24" t="s">
        <v>23</v>
      </c>
      <c r="C515" s="123" t="s">
        <v>53</v>
      </c>
      <c r="D515" s="29">
        <v>200</v>
      </c>
      <c r="E515" s="120">
        <v>26395</v>
      </c>
      <c r="F515" s="41">
        <f t="shared" si="27"/>
        <v>5279000</v>
      </c>
      <c r="G515" s="32"/>
    </row>
    <row r="516" spans="1:7" x14ac:dyDescent="0.25">
      <c r="A516" s="116">
        <v>11</v>
      </c>
      <c r="B516" s="24" t="s">
        <v>95</v>
      </c>
      <c r="C516" s="123" t="s">
        <v>53</v>
      </c>
      <c r="D516" s="29">
        <v>182</v>
      </c>
      <c r="E516" s="120">
        <v>30775</v>
      </c>
      <c r="F516" s="41">
        <f t="shared" si="27"/>
        <v>5601050</v>
      </c>
      <c r="G516" s="32"/>
    </row>
    <row r="517" spans="1:7" ht="29.25" x14ac:dyDescent="0.25">
      <c r="A517" s="118">
        <v>12</v>
      </c>
      <c r="B517" s="12" t="s">
        <v>102</v>
      </c>
      <c r="C517" s="123" t="s">
        <v>53</v>
      </c>
      <c r="D517" s="29">
        <v>96</v>
      </c>
      <c r="E517" s="120">
        <v>32848</v>
      </c>
      <c r="F517" s="41">
        <f t="shared" si="27"/>
        <v>3153408</v>
      </c>
      <c r="G517" s="32"/>
    </row>
    <row r="518" spans="1:7" x14ac:dyDescent="0.25">
      <c r="A518" s="116">
        <v>13</v>
      </c>
      <c r="B518" s="13" t="s">
        <v>63</v>
      </c>
      <c r="C518" s="15"/>
      <c r="D518" s="15"/>
      <c r="E518" s="120">
        <v>0</v>
      </c>
      <c r="F518" s="41">
        <f t="shared" si="27"/>
        <v>0</v>
      </c>
      <c r="G518" s="32"/>
    </row>
    <row r="519" spans="1:7" ht="29.25" x14ac:dyDescent="0.25">
      <c r="A519" s="118">
        <v>14</v>
      </c>
      <c r="B519" s="121" t="s">
        <v>214</v>
      </c>
      <c r="C519" s="123" t="s">
        <v>12</v>
      </c>
      <c r="D519" s="29">
        <v>420</v>
      </c>
      <c r="E519" s="120">
        <v>8500</v>
      </c>
      <c r="F519" s="41">
        <f t="shared" si="27"/>
        <v>3570000</v>
      </c>
      <c r="G519" s="32"/>
    </row>
    <row r="520" spans="1:7" ht="29.25" x14ac:dyDescent="0.25">
      <c r="A520" s="116">
        <v>15</v>
      </c>
      <c r="B520" s="121" t="s">
        <v>215</v>
      </c>
      <c r="C520" s="123" t="s">
        <v>12</v>
      </c>
      <c r="D520" s="29">
        <v>324</v>
      </c>
      <c r="E520" s="120">
        <v>9500</v>
      </c>
      <c r="F520" s="41">
        <f t="shared" si="27"/>
        <v>3078000</v>
      </c>
      <c r="G520" s="32"/>
    </row>
    <row r="521" spans="1:7" x14ac:dyDescent="0.25">
      <c r="A521" s="118">
        <v>16</v>
      </c>
      <c r="B521" s="24" t="s">
        <v>182</v>
      </c>
      <c r="C521" s="123" t="s">
        <v>28</v>
      </c>
      <c r="D521" s="29">
        <v>5</v>
      </c>
      <c r="E521" s="120">
        <v>150000</v>
      </c>
      <c r="F521" s="41">
        <f t="shared" si="27"/>
        <v>750000</v>
      </c>
      <c r="G521" s="32"/>
    </row>
    <row r="522" spans="1:7" x14ac:dyDescent="0.25">
      <c r="A522" s="116">
        <v>17</v>
      </c>
      <c r="B522" s="24" t="s">
        <v>216</v>
      </c>
      <c r="C522" s="123" t="s">
        <v>28</v>
      </c>
      <c r="D522" s="29">
        <v>1</v>
      </c>
      <c r="E522" s="120">
        <v>300000</v>
      </c>
      <c r="F522" s="41">
        <f t="shared" si="27"/>
        <v>300000</v>
      </c>
      <c r="G522" s="32"/>
    </row>
    <row r="523" spans="1:7" x14ac:dyDescent="0.25">
      <c r="A523" s="118">
        <v>18</v>
      </c>
      <c r="B523" s="24" t="s">
        <v>217</v>
      </c>
      <c r="C523" s="123" t="s">
        <v>28</v>
      </c>
      <c r="D523" s="29">
        <v>1</v>
      </c>
      <c r="E523" s="120">
        <v>150000</v>
      </c>
      <c r="F523" s="41">
        <f t="shared" si="27"/>
        <v>150000</v>
      </c>
      <c r="G523" s="32"/>
    </row>
    <row r="524" spans="1:7" ht="43.5" x14ac:dyDescent="0.25">
      <c r="A524" s="116">
        <v>19</v>
      </c>
      <c r="B524" s="12" t="s">
        <v>103</v>
      </c>
      <c r="C524" s="123" t="s">
        <v>28</v>
      </c>
      <c r="D524" s="29">
        <v>12</v>
      </c>
      <c r="E524" s="120">
        <v>42039</v>
      </c>
      <c r="F524" s="41">
        <f t="shared" si="27"/>
        <v>504468</v>
      </c>
      <c r="G524" s="32"/>
    </row>
    <row r="525" spans="1:7" x14ac:dyDescent="0.25">
      <c r="A525" s="118">
        <v>20</v>
      </c>
      <c r="B525" s="26" t="s">
        <v>104</v>
      </c>
      <c r="C525" s="123" t="s">
        <v>28</v>
      </c>
      <c r="D525" s="29">
        <v>1</v>
      </c>
      <c r="E525" s="120">
        <v>210191</v>
      </c>
      <c r="F525" s="41">
        <f t="shared" si="27"/>
        <v>210191</v>
      </c>
      <c r="G525" s="32"/>
    </row>
    <row r="526" spans="1:7" ht="57.75" x14ac:dyDescent="0.25">
      <c r="A526" s="116">
        <v>21</v>
      </c>
      <c r="B526" s="12" t="s">
        <v>105</v>
      </c>
      <c r="C526" s="123" t="s">
        <v>28</v>
      </c>
      <c r="D526" s="29">
        <v>1</v>
      </c>
      <c r="E526" s="120">
        <v>345600</v>
      </c>
      <c r="F526" s="41">
        <f t="shared" si="27"/>
        <v>345600</v>
      </c>
      <c r="G526" s="32"/>
    </row>
    <row r="527" spans="1:7" x14ac:dyDescent="0.25">
      <c r="A527" s="118">
        <v>22</v>
      </c>
      <c r="B527" s="12" t="s">
        <v>106</v>
      </c>
      <c r="C527" s="123" t="s">
        <v>78</v>
      </c>
      <c r="D527" s="29">
        <v>2</v>
      </c>
      <c r="E527" s="120">
        <v>350000</v>
      </c>
      <c r="F527" s="41">
        <f t="shared" si="27"/>
        <v>700000</v>
      </c>
      <c r="G527" s="32"/>
    </row>
    <row r="528" spans="1:7" x14ac:dyDescent="0.25">
      <c r="A528" s="116">
        <v>23</v>
      </c>
      <c r="B528" s="101" t="s">
        <v>33</v>
      </c>
      <c r="C528" s="15"/>
      <c r="D528" s="15"/>
      <c r="E528" s="120">
        <v>0</v>
      </c>
      <c r="F528" s="41">
        <f t="shared" si="27"/>
        <v>0</v>
      </c>
      <c r="G528" s="32"/>
    </row>
    <row r="529" spans="1:13" x14ac:dyDescent="0.25">
      <c r="A529" s="118">
        <v>24</v>
      </c>
      <c r="B529" s="12" t="s">
        <v>34</v>
      </c>
      <c r="C529" s="123" t="s">
        <v>53</v>
      </c>
      <c r="D529" s="29">
        <v>71</v>
      </c>
      <c r="E529" s="120">
        <v>121019</v>
      </c>
      <c r="F529" s="41">
        <f t="shared" si="27"/>
        <v>8592349</v>
      </c>
      <c r="G529" s="32"/>
    </row>
    <row r="530" spans="1:13" ht="29.25" x14ac:dyDescent="0.25">
      <c r="A530" s="116">
        <v>25</v>
      </c>
      <c r="B530" s="12" t="s">
        <v>35</v>
      </c>
      <c r="C530" s="123" t="s">
        <v>53</v>
      </c>
      <c r="D530" s="29">
        <v>210</v>
      </c>
      <c r="E530" s="120">
        <v>22197</v>
      </c>
      <c r="F530" s="41">
        <f t="shared" si="27"/>
        <v>4661370</v>
      </c>
      <c r="G530" s="32"/>
    </row>
    <row r="531" spans="1:13" x14ac:dyDescent="0.25">
      <c r="A531" s="118">
        <v>26</v>
      </c>
      <c r="B531" s="12" t="s">
        <v>37</v>
      </c>
      <c r="C531" s="123" t="s">
        <v>53</v>
      </c>
      <c r="D531" s="29">
        <v>36</v>
      </c>
      <c r="E531" s="120">
        <v>85500</v>
      </c>
      <c r="F531" s="41">
        <f t="shared" si="27"/>
        <v>3078000</v>
      </c>
      <c r="G531" s="32"/>
    </row>
    <row r="532" spans="1:13" x14ac:dyDescent="0.25">
      <c r="A532" s="116">
        <v>27</v>
      </c>
      <c r="B532" s="101" t="s">
        <v>38</v>
      </c>
      <c r="C532" s="15"/>
      <c r="D532" s="15"/>
      <c r="E532" s="120"/>
      <c r="F532" s="41">
        <f t="shared" si="27"/>
        <v>0</v>
      </c>
      <c r="G532" s="32"/>
    </row>
    <row r="533" spans="1:13" ht="29.25" x14ac:dyDescent="0.25">
      <c r="A533" s="118">
        <v>28</v>
      </c>
      <c r="B533" s="12" t="s">
        <v>39</v>
      </c>
      <c r="C533" s="123" t="s">
        <v>53</v>
      </c>
      <c r="D533" s="29">
        <v>0.5</v>
      </c>
      <c r="E533" s="120">
        <v>607296</v>
      </c>
      <c r="F533" s="41">
        <f t="shared" si="27"/>
        <v>303648</v>
      </c>
      <c r="G533" s="32"/>
    </row>
    <row r="534" spans="1:13" ht="29.25" x14ac:dyDescent="0.25">
      <c r="A534" s="116">
        <v>29</v>
      </c>
      <c r="B534" s="12" t="s">
        <v>40</v>
      </c>
      <c r="C534" s="123" t="s">
        <v>53</v>
      </c>
      <c r="D534" s="29">
        <v>1</v>
      </c>
      <c r="E534" s="120">
        <v>824735</v>
      </c>
      <c r="F534" s="41">
        <f t="shared" si="27"/>
        <v>824735</v>
      </c>
      <c r="G534" s="32"/>
    </row>
    <row r="535" spans="1:13" x14ac:dyDescent="0.25">
      <c r="A535" s="118">
        <v>30</v>
      </c>
      <c r="B535" s="101" t="s">
        <v>41</v>
      </c>
      <c r="C535" s="15"/>
      <c r="D535" s="15"/>
      <c r="E535" s="120">
        <v>0</v>
      </c>
      <c r="F535" s="41">
        <f t="shared" si="27"/>
        <v>0</v>
      </c>
      <c r="G535" s="32"/>
    </row>
    <row r="536" spans="1:13" x14ac:dyDescent="0.25">
      <c r="A536" s="116">
        <v>31</v>
      </c>
      <c r="B536" s="12" t="s">
        <v>42</v>
      </c>
      <c r="C536" s="123" t="s">
        <v>43</v>
      </c>
      <c r="D536" s="29">
        <v>36</v>
      </c>
      <c r="E536" s="120">
        <v>5922</v>
      </c>
      <c r="F536" s="41">
        <f t="shared" si="27"/>
        <v>213192</v>
      </c>
      <c r="G536" s="32"/>
    </row>
    <row r="537" spans="1:13" ht="28.5" x14ac:dyDescent="0.25">
      <c r="A537" s="118">
        <v>32</v>
      </c>
      <c r="B537" s="7" t="s">
        <v>44</v>
      </c>
      <c r="C537" s="123" t="s">
        <v>101</v>
      </c>
      <c r="D537" s="29">
        <v>1.25</v>
      </c>
      <c r="E537" s="119">
        <v>1673138</v>
      </c>
      <c r="F537" s="41">
        <f t="shared" si="27"/>
        <v>2091423</v>
      </c>
      <c r="G537" s="32"/>
      <c r="K537" s="22"/>
    </row>
    <row r="538" spans="1:13" x14ac:dyDescent="0.25">
      <c r="A538" s="116"/>
      <c r="B538" s="13" t="s">
        <v>46</v>
      </c>
      <c r="C538" s="23"/>
      <c r="D538" s="57"/>
      <c r="E538" s="16"/>
      <c r="F538" s="30">
        <f>SUM(F507:F537)</f>
        <v>53394030</v>
      </c>
      <c r="G538" s="32"/>
    </row>
    <row r="539" spans="1:13" x14ac:dyDescent="0.25">
      <c r="A539" s="14"/>
      <c r="B539" s="14" t="s">
        <v>49</v>
      </c>
      <c r="C539" s="14"/>
      <c r="D539" s="14"/>
      <c r="E539" s="14"/>
      <c r="F539" s="17">
        <f>ROUND(F538/1.3495,0)</f>
        <v>39565787</v>
      </c>
      <c r="G539" s="32"/>
    </row>
    <row r="540" spans="1:13" x14ac:dyDescent="0.25">
      <c r="A540" s="14"/>
      <c r="B540" s="14" t="s">
        <v>50</v>
      </c>
      <c r="C540" s="58">
        <v>0.24</v>
      </c>
      <c r="D540" s="14"/>
      <c r="E540" s="14"/>
      <c r="F540" s="17">
        <f>ROUND(F539*C540,0)</f>
        <v>9495789</v>
      </c>
      <c r="G540" s="32"/>
    </row>
    <row r="541" spans="1:13" x14ac:dyDescent="0.25">
      <c r="A541" s="14"/>
      <c r="B541" s="14" t="s">
        <v>47</v>
      </c>
      <c r="C541" s="58">
        <v>0.05</v>
      </c>
      <c r="D541" s="14"/>
      <c r="E541" s="14"/>
      <c r="F541" s="17">
        <f>ROUND(F539*C541,0)</f>
        <v>1978289</v>
      </c>
      <c r="G541" s="32"/>
    </row>
    <row r="542" spans="1:13" x14ac:dyDescent="0.25">
      <c r="A542" s="14"/>
      <c r="B542" s="14" t="s">
        <v>51</v>
      </c>
      <c r="C542" s="58">
        <v>0.05</v>
      </c>
      <c r="D542" s="14"/>
      <c r="E542" s="14"/>
      <c r="F542" s="17">
        <f>ROUND(F539*C542,0)</f>
        <v>1978289</v>
      </c>
      <c r="G542" s="32"/>
    </row>
    <row r="543" spans="1:13" x14ac:dyDescent="0.25">
      <c r="A543" s="14"/>
      <c r="B543" s="59" t="s">
        <v>52</v>
      </c>
      <c r="C543" s="60">
        <v>0.19</v>
      </c>
      <c r="D543" s="51"/>
      <c r="E543" s="51"/>
      <c r="F543" s="21">
        <f>ROUND(F542*19%,0)</f>
        <v>375875</v>
      </c>
      <c r="G543" s="32"/>
    </row>
    <row r="544" spans="1:13" x14ac:dyDescent="0.25">
      <c r="A544" s="14"/>
      <c r="B544" s="13" t="s">
        <v>46</v>
      </c>
      <c r="C544" s="14"/>
      <c r="D544" s="14"/>
      <c r="E544" s="14"/>
      <c r="F544" s="18">
        <f>SUM(F539:F543)</f>
        <v>53394029</v>
      </c>
      <c r="G544" s="32"/>
      <c r="K544" s="69"/>
      <c r="L544" s="68"/>
      <c r="M544" s="69"/>
    </row>
    <row r="545" spans="1:11" x14ac:dyDescent="0.25">
      <c r="A545" s="32"/>
      <c r="B545" s="32"/>
      <c r="C545" s="32"/>
      <c r="D545" s="32"/>
      <c r="E545" s="32"/>
      <c r="F545" s="32"/>
      <c r="G545" s="32"/>
    </row>
    <row r="546" spans="1:11" x14ac:dyDescent="0.25">
      <c r="A546" s="32"/>
      <c r="B546" s="32"/>
      <c r="C546" s="32"/>
      <c r="D546" s="32"/>
      <c r="E546" s="32"/>
      <c r="F546" s="32"/>
      <c r="G546" s="32"/>
    </row>
    <row r="547" spans="1:11" x14ac:dyDescent="0.25">
      <c r="A547" s="32"/>
      <c r="B547" s="179" t="s">
        <v>219</v>
      </c>
      <c r="C547" s="179"/>
      <c r="D547" s="32"/>
      <c r="E547" s="32"/>
      <c r="F547" s="62">
        <f>F538</f>
        <v>53394030</v>
      </c>
      <c r="G547" s="32"/>
      <c r="K547" s="22"/>
    </row>
    <row r="548" spans="1:11" x14ac:dyDescent="0.25">
      <c r="A548" s="32"/>
      <c r="B548" s="32"/>
      <c r="C548" s="32"/>
      <c r="D548" s="32"/>
      <c r="E548" s="32"/>
      <c r="F548" s="32"/>
      <c r="G548" s="32"/>
    </row>
    <row r="549" spans="1:11" x14ac:dyDescent="0.25">
      <c r="A549" s="32"/>
      <c r="B549" s="32"/>
      <c r="C549" s="32"/>
      <c r="D549" s="32"/>
      <c r="E549" s="32"/>
      <c r="F549" s="32"/>
      <c r="G549" s="32"/>
      <c r="H549" s="22"/>
    </row>
    <row r="550" spans="1:11" ht="15.75" x14ac:dyDescent="0.25">
      <c r="A550" s="32"/>
      <c r="B550" s="139" t="s">
        <v>222</v>
      </c>
      <c r="C550" s="140"/>
      <c r="D550" s="140"/>
      <c r="E550" s="140"/>
      <c r="F550" s="66">
        <f>F547+F498+F353+F301+F58</f>
        <v>850643626</v>
      </c>
      <c r="G550" s="32"/>
      <c r="H550" s="22"/>
    </row>
    <row r="551" spans="1:11" x14ac:dyDescent="0.25">
      <c r="A551" s="32"/>
      <c r="B551" s="32"/>
      <c r="C551" s="32"/>
      <c r="D551" s="32"/>
      <c r="E551" s="32"/>
      <c r="F551" s="32"/>
      <c r="G551" s="32"/>
      <c r="H551" s="22"/>
    </row>
    <row r="552" spans="1:11" x14ac:dyDescent="0.25">
      <c r="G552" s="20" t="s">
        <v>1</v>
      </c>
    </row>
  </sheetData>
  <mergeCells count="76">
    <mergeCell ref="C65:E65"/>
    <mergeCell ref="A103:F103"/>
    <mergeCell ref="A2:F2"/>
    <mergeCell ref="C10:E10"/>
    <mergeCell ref="A62:F62"/>
    <mergeCell ref="A63:A64"/>
    <mergeCell ref="B63:B64"/>
    <mergeCell ref="C63:C64"/>
    <mergeCell ref="D63:F63"/>
    <mergeCell ref="A7:F7"/>
    <mergeCell ref="A8:A9"/>
    <mergeCell ref="B8:B9"/>
    <mergeCell ref="C8:C9"/>
    <mergeCell ref="D8:F8"/>
    <mergeCell ref="A31:F31"/>
    <mergeCell ref="A33:A34"/>
    <mergeCell ref="A104:A105"/>
    <mergeCell ref="B104:B105"/>
    <mergeCell ref="C104:C105"/>
    <mergeCell ref="D104:F104"/>
    <mergeCell ref="C106:E106"/>
    <mergeCell ref="A138:F138"/>
    <mergeCell ref="A139:A140"/>
    <mergeCell ref="B139:B140"/>
    <mergeCell ref="C139:C140"/>
    <mergeCell ref="D139:F139"/>
    <mergeCell ref="C141:E141"/>
    <mergeCell ref="A179:F179"/>
    <mergeCell ref="A180:A181"/>
    <mergeCell ref="B180:B181"/>
    <mergeCell ref="C180:C181"/>
    <mergeCell ref="D180:F180"/>
    <mergeCell ref="C277:E277"/>
    <mergeCell ref="A227:F227"/>
    <mergeCell ref="A228:A229"/>
    <mergeCell ref="B228:B229"/>
    <mergeCell ref="C228:C229"/>
    <mergeCell ref="D228:F228"/>
    <mergeCell ref="A274:F274"/>
    <mergeCell ref="A275:A276"/>
    <mergeCell ref="B275:B276"/>
    <mergeCell ref="C275:C276"/>
    <mergeCell ref="D275:F275"/>
    <mergeCell ref="B547:C547"/>
    <mergeCell ref="B498:C498"/>
    <mergeCell ref="B501:C501"/>
    <mergeCell ref="A503:F503"/>
    <mergeCell ref="A504:A505"/>
    <mergeCell ref="B504:B505"/>
    <mergeCell ref="C504:C505"/>
    <mergeCell ref="D504:F504"/>
    <mergeCell ref="C506:E506"/>
    <mergeCell ref="A462:A463"/>
    <mergeCell ref="C462:C463"/>
    <mergeCell ref="D462:F462"/>
    <mergeCell ref="A411:F411"/>
    <mergeCell ref="A412:A413"/>
    <mergeCell ref="B412:B413"/>
    <mergeCell ref="C412:C413"/>
    <mergeCell ref="D412:F412"/>
    <mergeCell ref="A1:F1"/>
    <mergeCell ref="B33:B34"/>
    <mergeCell ref="C33:C34"/>
    <mergeCell ref="D33:F33"/>
    <mergeCell ref="A461:F461"/>
    <mergeCell ref="B357:C357"/>
    <mergeCell ref="A360:F360"/>
    <mergeCell ref="A362:A363"/>
    <mergeCell ref="B362:B363"/>
    <mergeCell ref="C362:C363"/>
    <mergeCell ref="D362:F362"/>
    <mergeCell ref="A304:B304"/>
    <mergeCell ref="A306:F306"/>
    <mergeCell ref="A307:A308"/>
    <mergeCell ref="B307:B308"/>
    <mergeCell ref="D307:F307"/>
  </mergeCells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  <headerFooter>
    <oddHeader>&amp;C&amp;P de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752244CED28A4BA6509E99DB5C01AE" ma:contentTypeVersion="8" ma:contentTypeDescription="Crear nuevo documento." ma:contentTypeScope="" ma:versionID="25e66a536e8f68677a0e6ee802140c24">
  <xsd:schema xmlns:xsd="http://www.w3.org/2001/XMLSchema" xmlns:xs="http://www.w3.org/2001/XMLSchema" xmlns:p="http://schemas.microsoft.com/office/2006/metadata/properties" xmlns:ns2="9c5ec4d1-52e7-47bd-9727-219ea83327c0" targetNamespace="http://schemas.microsoft.com/office/2006/metadata/properties" ma:root="true" ma:fieldsID="63ee76f36458a85382fb6bcd2bbe5e56" ns2:_="">
    <xsd:import namespace="9c5ec4d1-52e7-47bd-9727-219ea83327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ec4d1-52e7-47bd-9727-219ea83327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8AC204-317E-4714-B638-09F870A0B2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9DA1F4-9B61-41F1-B9E3-D9EBEDD99D24}">
  <ds:schemaRefs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9c5ec4d1-52e7-47bd-9727-219ea83327c0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567D5CE-0481-4073-8833-C6C2B7AA16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ec4d1-52e7-47bd-9727-219ea83327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GRUPOV FIL NEIRA RCIO SUPIA RDA</vt:lpstr>
      <vt:lpstr>'GRUPOV FIL NEIRA RCIO SUPIA RDA'!Área_de_impresión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Gloria Carmenza Gallo</cp:lastModifiedBy>
  <cp:lastPrinted>2019-07-26T12:42:33Z</cp:lastPrinted>
  <dcterms:created xsi:type="dcterms:W3CDTF">2019-02-18T20:18:36Z</dcterms:created>
  <dcterms:modified xsi:type="dcterms:W3CDTF">2019-07-26T12:48:12Z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0x010100F9752244CED28A4BA6509E99DB5C01AE</vt:lpwstr>
  </property>
</Properties>
</file>