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MP-MAN-OPMA-01\EMPOCALDAS\EMP-MAN-OPMA-01 - Documentos\CARMENZA OPERACION Y MANTENIMIENTO 2019\CREDITO DE $10.000 MILLONES  2019\formularios de precios\"/>
    </mc:Choice>
  </mc:AlternateContent>
  <bookViews>
    <workbookView xWindow="0" yWindow="0" windowWidth="28770" windowHeight="11520"/>
  </bookViews>
  <sheets>
    <sheet name="GRUPO I AGUADAS " sheetId="45" r:id="rId1"/>
    <sheet name="GRUPO II ANSERMA " sheetId="46" r:id="rId2"/>
    <sheet name="GRUPO III ARAUCA BELALVITER PAL" sheetId="47" r:id="rId3"/>
    <sheet name="GRUPO IV  CHINCHINA " sheetId="48" r:id="rId4"/>
    <sheet name="GRUPOV FIL NEIRA RCIO SUPIA RDA" sheetId="50" r:id="rId5"/>
    <sheet name="GRUPO VI LA DORADA  " sheetId="51" r:id="rId6"/>
    <sheet name="GRUPO VII LA DORADA " sheetId="52" r:id="rId7"/>
    <sheet name="GRUPO VIII LA DORADA " sheetId="53" r:id="rId8"/>
    <sheet name="GRUPO IX MAN SAMA Y VICTORI" sheetId="54" r:id="rId9"/>
    <sheet name="GRUPO X SALAMINA " sheetId="58" r:id="rId10"/>
  </sheets>
  <externalReferences>
    <externalReference r:id="rId11"/>
  </externalReferences>
  <definedNames>
    <definedName name="_xlnm.Print_Area" localSheetId="0">'GRUPO I AGUADAS '!$A$1:$G$369</definedName>
    <definedName name="_xlnm.Print_Area" localSheetId="1">'GRUPO II ANSERMA '!$A$1:$G$746</definedName>
    <definedName name="_xlnm.Print_Area" localSheetId="2">'GRUPO III ARAUCA BELALVITER PAL'!$A$1:$F$560</definedName>
    <definedName name="_xlnm.Print_Area" localSheetId="3">'GRUPO IV  CHINCHINA '!$A$2:$F$572</definedName>
    <definedName name="_xlnm.Print_Area" localSheetId="8">'GRUPO IX MAN SAMA Y VICTORI'!$A$1:$G$229</definedName>
    <definedName name="_xlnm.Print_Area" localSheetId="5">'GRUPO VI LA DORADA  '!$A$2:$F$49</definedName>
    <definedName name="_xlnm.Print_Area" localSheetId="6">'GRUPO VII LA DORADA '!$A$1:$F$685</definedName>
    <definedName name="_xlnm.Print_Area" localSheetId="7">'GRUPO VIII LA DORADA '!$A$1:$F$519</definedName>
    <definedName name="_xlnm.Print_Area" localSheetId="9">'GRUPO X SALAMINA '!$A$1:$F$593</definedName>
    <definedName name="_xlnm.Print_Area" localSheetId="4">'GRUPOV FIL NEIRA RCIO SUPIA RDA'!$A$1:$F$550</definedName>
  </definedNames>
  <calcPr calcId="162913"/>
</workbook>
</file>

<file path=xl/calcChain.xml><?xml version="1.0" encoding="utf-8"?>
<calcChain xmlns="http://schemas.openxmlformats.org/spreadsheetml/2006/main">
  <c r="A461" i="50" l="1"/>
  <c r="F572" i="48" l="1"/>
  <c r="F518" i="48"/>
  <c r="F517" i="48"/>
  <c r="F516" i="48"/>
  <c r="F514" i="48"/>
  <c r="F513" i="48"/>
  <c r="F512" i="48"/>
  <c r="F511" i="48"/>
  <c r="F510" i="48"/>
  <c r="F509" i="48"/>
  <c r="F508" i="48"/>
  <c r="F507" i="48"/>
  <c r="F506" i="48"/>
  <c r="F505" i="48"/>
  <c r="F503" i="48"/>
  <c r="F502" i="48"/>
  <c r="F501" i="48"/>
  <c r="F499" i="48"/>
  <c r="F498" i="48"/>
  <c r="F496" i="48"/>
  <c r="F495" i="48"/>
  <c r="F494" i="48"/>
  <c r="F492" i="48"/>
  <c r="F490" i="48"/>
  <c r="F489" i="48"/>
  <c r="F488" i="48"/>
  <c r="F486" i="48"/>
  <c r="F485" i="48"/>
  <c r="F484" i="48"/>
  <c r="F519" i="48" l="1"/>
  <c r="F520" i="48" s="1"/>
  <c r="F523" i="48" s="1"/>
  <c r="F524" i="48" s="1"/>
  <c r="F447" i="47"/>
  <c r="F522" i="48" l="1"/>
  <c r="F525" i="48" s="1"/>
  <c r="F521" i="48"/>
  <c r="F318" i="58" l="1"/>
  <c r="F506" i="58"/>
  <c r="F593" i="58"/>
  <c r="F504" i="58"/>
  <c r="F502" i="58"/>
  <c r="F501" i="58"/>
  <c r="F499" i="58"/>
  <c r="F498" i="58"/>
  <c r="F497" i="58"/>
  <c r="F495" i="58"/>
  <c r="F494" i="58"/>
  <c r="F493" i="58"/>
  <c r="F492" i="58"/>
  <c r="F491" i="58"/>
  <c r="F489" i="58"/>
  <c r="F488" i="58"/>
  <c r="F486" i="58"/>
  <c r="F485" i="58"/>
  <c r="F483" i="58"/>
  <c r="F482" i="58"/>
  <c r="F481" i="58"/>
  <c r="A480" i="58"/>
  <c r="A481" i="58" s="1"/>
  <c r="A482" i="58" s="1"/>
  <c r="A483" i="58" s="1"/>
  <c r="A484" i="58" s="1"/>
  <c r="A485" i="58" s="1"/>
  <c r="A486" i="58" s="1"/>
  <c r="A487" i="58" s="1"/>
  <c r="A488" i="58" s="1"/>
  <c r="A489" i="58" s="1"/>
  <c r="A490" i="58" s="1"/>
  <c r="A491" i="58" s="1"/>
  <c r="A492" i="58" s="1"/>
  <c r="A493" i="58" s="1"/>
  <c r="A494" i="58" s="1"/>
  <c r="A495" i="58" s="1"/>
  <c r="A496" i="58" s="1"/>
  <c r="A497" i="58" s="1"/>
  <c r="A498" i="58" s="1"/>
  <c r="A499" i="58" s="1"/>
  <c r="A500" i="58" s="1"/>
  <c r="A501" i="58" s="1"/>
  <c r="A502" i="58" s="1"/>
  <c r="A503" i="58" s="1"/>
  <c r="A504" i="58" s="1"/>
  <c r="F317" i="58"/>
  <c r="F315" i="58"/>
  <c r="F314" i="58"/>
  <c r="F312" i="58"/>
  <c r="F311" i="58"/>
  <c r="F309" i="58"/>
  <c r="F308" i="58"/>
  <c r="F307" i="58"/>
  <c r="F306" i="58"/>
  <c r="F305" i="58"/>
  <c r="F304" i="58"/>
  <c r="F303" i="58"/>
  <c r="F302" i="58"/>
  <c r="F300" i="58"/>
  <c r="F299" i="58"/>
  <c r="F298" i="58"/>
  <c r="F296" i="58"/>
  <c r="F295" i="58"/>
  <c r="F293" i="58"/>
  <c r="F292" i="58"/>
  <c r="F291" i="58"/>
  <c r="A290" i="58"/>
  <c r="A291" i="58" s="1"/>
  <c r="A292" i="58" s="1"/>
  <c r="A293" i="58" s="1"/>
  <c r="A294" i="58" s="1"/>
  <c r="A295" i="58" s="1"/>
  <c r="A296" i="58" s="1"/>
  <c r="A297" i="58" s="1"/>
  <c r="A298" i="58" s="1"/>
  <c r="A299" i="58" s="1"/>
  <c r="A300" i="58" s="1"/>
  <c r="A301" i="58" s="1"/>
  <c r="A302" i="58" s="1"/>
  <c r="A303" i="58" s="1"/>
  <c r="A304" i="58" s="1"/>
  <c r="A305" i="58" s="1"/>
  <c r="A306" i="58" s="1"/>
  <c r="A307" i="58" s="1"/>
  <c r="A308" i="58" s="1"/>
  <c r="A309" i="58" s="1"/>
  <c r="A310" i="58" s="1"/>
  <c r="A311" i="58" s="1"/>
  <c r="A312" i="58" s="1"/>
  <c r="A313" i="58" s="1"/>
  <c r="A314" i="58" s="1"/>
  <c r="A315" i="58" s="1"/>
  <c r="A316" i="58" s="1"/>
  <c r="A317" i="58" s="1"/>
  <c r="F507" i="58" l="1"/>
  <c r="F508" i="58" s="1"/>
  <c r="F319" i="58"/>
  <c r="F322" i="58" s="1"/>
  <c r="F323" i="58" s="1"/>
  <c r="F509" i="58" l="1"/>
  <c r="F510" i="58"/>
  <c r="F511" i="58" s="1"/>
  <c r="F320" i="58"/>
  <c r="F321" i="58"/>
  <c r="F324" i="58" l="1"/>
  <c r="F512" i="58"/>
  <c r="F49" i="50" l="1"/>
  <c r="F48" i="50"/>
  <c r="F46" i="50"/>
  <c r="F44" i="50"/>
  <c r="F42" i="50"/>
  <c r="F50" i="50" s="1"/>
  <c r="F53" i="50" s="1"/>
  <c r="F54" i="50" s="1"/>
  <c r="F40" i="50"/>
  <c r="F39" i="50"/>
  <c r="F37" i="50"/>
  <c r="F51" i="50" l="1"/>
  <c r="F52" i="50"/>
  <c r="F55" i="50" s="1"/>
  <c r="F58" i="50" s="1"/>
  <c r="E367" i="50" l="1"/>
  <c r="F275" i="47" l="1"/>
  <c r="E274" i="47"/>
  <c r="F274" i="47" s="1"/>
  <c r="F273" i="47"/>
  <c r="F272" i="47"/>
  <c r="F271" i="47"/>
  <c r="F269" i="47"/>
  <c r="F268" i="47"/>
  <c r="F267" i="47"/>
  <c r="F266" i="47"/>
  <c r="F265" i="47"/>
  <c r="F264" i="47"/>
  <c r="F263" i="47"/>
  <c r="F262" i="47"/>
  <c r="F261" i="47"/>
  <c r="F259" i="47"/>
  <c r="F258" i="47"/>
  <c r="F257" i="47"/>
  <c r="F256" i="47"/>
  <c r="F255" i="47"/>
  <c r="F254" i="47"/>
  <c r="F253" i="47"/>
  <c r="F252" i="47"/>
  <c r="F250" i="47"/>
  <c r="F249" i="47"/>
  <c r="F248" i="47"/>
  <c r="F247" i="47"/>
  <c r="F246" i="47"/>
  <c r="F245" i="47"/>
  <c r="F244" i="47"/>
  <c r="F243" i="47"/>
  <c r="F242" i="47"/>
  <c r="F241" i="47"/>
  <c r="F240" i="47"/>
  <c r="F239" i="47"/>
  <c r="F238" i="47"/>
  <c r="F237" i="47"/>
  <c r="F236" i="47"/>
  <c r="F234" i="47"/>
  <c r="F233" i="47"/>
  <c r="F232" i="47"/>
  <c r="F231" i="47"/>
  <c r="F230" i="47"/>
  <c r="F276" i="47" l="1"/>
  <c r="F277" i="47" s="1"/>
  <c r="F279" i="47" s="1"/>
  <c r="F278" i="47" l="1"/>
  <c r="F280" i="47"/>
  <c r="F281" i="47" s="1"/>
  <c r="F282" i="47" l="1"/>
  <c r="F369" i="45" l="1"/>
  <c r="F358" i="45"/>
  <c r="F357" i="45"/>
  <c r="F356" i="45"/>
  <c r="F359" i="45" s="1"/>
  <c r="F360" i="45" s="1"/>
  <c r="F363" i="45" s="1"/>
  <c r="F364" i="45" s="1"/>
  <c r="F355" i="45"/>
  <c r="F353" i="45"/>
  <c r="F352" i="45"/>
  <c r="F351" i="45"/>
  <c r="F350" i="45"/>
  <c r="F349" i="45"/>
  <c r="F347" i="45"/>
  <c r="F346" i="45"/>
  <c r="F345" i="45"/>
  <c r="F343" i="45"/>
  <c r="F342" i="45"/>
  <c r="F340" i="45"/>
  <c r="F339" i="45"/>
  <c r="F337" i="45"/>
  <c r="F335" i="45"/>
  <c r="F334" i="45"/>
  <c r="F333" i="45"/>
  <c r="F331" i="45"/>
  <c r="F330" i="45"/>
  <c r="F329" i="45"/>
  <c r="F361" i="45" l="1"/>
  <c r="F362" i="45"/>
  <c r="F365" i="45" l="1"/>
  <c r="F39" i="51" l="1"/>
  <c r="F38" i="51"/>
  <c r="F37" i="51"/>
  <c r="F36" i="51"/>
  <c r="F35" i="51"/>
  <c r="F34" i="51"/>
  <c r="F33" i="51"/>
  <c r="F32" i="51"/>
  <c r="F10" i="51"/>
  <c r="A11" i="51"/>
  <c r="F11" i="51"/>
  <c r="A12" i="5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F12" i="51"/>
  <c r="F13" i="51"/>
  <c r="F14" i="51"/>
  <c r="F15" i="51"/>
  <c r="F16" i="51"/>
  <c r="F17" i="51"/>
  <c r="F18" i="51"/>
  <c r="F19" i="51"/>
  <c r="F20" i="51"/>
  <c r="F21" i="51"/>
  <c r="F22" i="51"/>
  <c r="F23" i="51"/>
  <c r="F24" i="51"/>
  <c r="F25" i="51"/>
  <c r="F26" i="51"/>
  <c r="F27" i="51"/>
  <c r="F28" i="51"/>
  <c r="F29" i="51"/>
  <c r="F30" i="51"/>
  <c r="F40" i="51" l="1"/>
  <c r="F519" i="53" l="1"/>
  <c r="F55" i="58" l="1"/>
  <c r="F33" i="53" l="1"/>
  <c r="F657" i="52"/>
  <c r="F607" i="52" l="1"/>
  <c r="A198" i="52"/>
  <c r="A199" i="52" s="1"/>
  <c r="A200" i="52" s="1"/>
  <c r="A201" i="52" s="1"/>
  <c r="A202" i="52" s="1"/>
  <c r="A203" i="52" s="1"/>
  <c r="A204" i="52" s="1"/>
  <c r="A205" i="52" s="1"/>
  <c r="A206" i="52" s="1"/>
  <c r="A207" i="52" s="1"/>
  <c r="A208" i="52" s="1"/>
  <c r="A209" i="52" s="1"/>
  <c r="A210" i="52" s="1"/>
  <c r="A211" i="52" s="1"/>
  <c r="A212" i="52" s="1"/>
  <c r="A213" i="52" s="1"/>
  <c r="A214" i="52" s="1"/>
  <c r="A215" i="52" s="1"/>
  <c r="A216" i="52" s="1"/>
  <c r="A217" i="52" s="1"/>
  <c r="A218" i="52" s="1"/>
  <c r="A219" i="52" s="1"/>
  <c r="A220" i="52" s="1"/>
  <c r="A164" i="52"/>
  <c r="A165" i="52" s="1"/>
  <c r="A166" i="52" s="1"/>
  <c r="A167" i="52" s="1"/>
  <c r="A168" i="52" s="1"/>
  <c r="A169" i="52" s="1"/>
  <c r="A170" i="52" s="1"/>
  <c r="A171" i="52" s="1"/>
  <c r="A172" i="52" s="1"/>
  <c r="A173" i="52" s="1"/>
  <c r="A174" i="52" s="1"/>
  <c r="A175" i="52" s="1"/>
  <c r="A176" i="52" s="1"/>
  <c r="A177" i="52" s="1"/>
  <c r="A178" i="52" s="1"/>
  <c r="A179" i="52" s="1"/>
  <c r="A180" i="52" s="1"/>
  <c r="A181" i="52" s="1"/>
  <c r="A182" i="52" s="1"/>
  <c r="A183" i="52" s="1"/>
  <c r="A184" i="52" s="1"/>
  <c r="A185" i="52" s="1"/>
  <c r="A186" i="52" s="1"/>
  <c r="F166" i="52"/>
  <c r="E134" i="52"/>
  <c r="A130" i="52"/>
  <c r="A131" i="52" s="1"/>
  <c r="A132" i="52" s="1"/>
  <c r="A133" i="52" s="1"/>
  <c r="A134" i="52" s="1"/>
  <c r="A135" i="52" s="1"/>
  <c r="A136" i="52" s="1"/>
  <c r="A137" i="52" s="1"/>
  <c r="A138" i="52" s="1"/>
  <c r="A139" i="52" s="1"/>
  <c r="A140" i="52" s="1"/>
  <c r="A141" i="52" s="1"/>
  <c r="A142" i="52" s="1"/>
  <c r="A143" i="52" s="1"/>
  <c r="A144" i="52" s="1"/>
  <c r="A145" i="52" s="1"/>
  <c r="A146" i="52" s="1"/>
  <c r="A147" i="52" s="1"/>
  <c r="A148" i="52" s="1"/>
  <c r="A149" i="52" s="1"/>
  <c r="A150" i="52" s="1"/>
  <c r="A151" i="52" s="1"/>
  <c r="A152" i="52" s="1"/>
  <c r="A96" i="52"/>
  <c r="A97" i="52" s="1"/>
  <c r="A98" i="52" s="1"/>
  <c r="A99" i="52" s="1"/>
  <c r="A100" i="52" s="1"/>
  <c r="A101" i="52" s="1"/>
  <c r="A102" i="52" s="1"/>
  <c r="A103" i="52" s="1"/>
  <c r="A104" i="52" s="1"/>
  <c r="A105" i="52" s="1"/>
  <c r="A106" i="52" s="1"/>
  <c r="A107" i="52" s="1"/>
  <c r="A108" i="52" s="1"/>
  <c r="A109" i="52" s="1"/>
  <c r="A110" i="52" s="1"/>
  <c r="A111" i="52" s="1"/>
  <c r="A112" i="52" s="1"/>
  <c r="A113" i="52" s="1"/>
  <c r="A114" i="52" s="1"/>
  <c r="A115" i="52" s="1"/>
  <c r="A116" i="52" s="1"/>
  <c r="A117" i="52" s="1"/>
  <c r="A118" i="52" s="1"/>
  <c r="F489" i="50"/>
  <c r="A465" i="50"/>
  <c r="A466" i="50" s="1"/>
  <c r="A467" i="50" s="1"/>
  <c r="A468" i="50" s="1"/>
  <c r="A469" i="50" s="1"/>
  <c r="A470" i="50" s="1"/>
  <c r="A471" i="50" s="1"/>
  <c r="A472" i="50" s="1"/>
  <c r="A473" i="50" s="1"/>
  <c r="A474" i="50" s="1"/>
  <c r="A475" i="50" s="1"/>
  <c r="A476" i="50" s="1"/>
  <c r="A477" i="50" s="1"/>
  <c r="A478" i="50" s="1"/>
  <c r="A479" i="50" s="1"/>
  <c r="A480" i="50" s="1"/>
  <c r="A481" i="50" s="1"/>
  <c r="A482" i="50" s="1"/>
  <c r="A483" i="50" s="1"/>
  <c r="A484" i="50" s="1"/>
  <c r="A485" i="50" s="1"/>
  <c r="A486" i="50" s="1"/>
  <c r="A487" i="50" s="1"/>
  <c r="A488" i="50" s="1"/>
  <c r="F457" i="47" l="1"/>
  <c r="F205" i="45" l="1"/>
  <c r="E204" i="45"/>
  <c r="F204" i="45" s="1"/>
  <c r="F316" i="45" l="1"/>
  <c r="E315" i="45"/>
  <c r="F315" i="45" s="1"/>
  <c r="A290" i="45"/>
  <c r="A291" i="45" s="1"/>
  <c r="A8" i="45"/>
  <c r="F37" i="45"/>
  <c r="F36" i="45"/>
  <c r="F35" i="45"/>
  <c r="F34" i="45"/>
  <c r="F33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E20" i="45"/>
  <c r="F20" i="45" s="1"/>
  <c r="F19" i="45"/>
  <c r="F18" i="45"/>
  <c r="F17" i="45"/>
  <c r="F16" i="45"/>
  <c r="F15" i="45"/>
  <c r="F14" i="45"/>
  <c r="F13" i="45"/>
  <c r="F12" i="45"/>
  <c r="F11" i="45"/>
  <c r="F10" i="45"/>
  <c r="F9" i="45"/>
  <c r="F8" i="45"/>
  <c r="F39" i="45" l="1"/>
  <c r="A292" i="45"/>
  <c r="A293" i="45" s="1"/>
  <c r="A294" i="45" s="1"/>
  <c r="A295" i="45" s="1"/>
  <c r="A296" i="45" s="1"/>
  <c r="A297" i="45" s="1"/>
  <c r="A298" i="45" s="1"/>
  <c r="A299" i="45" s="1"/>
  <c r="A300" i="45" s="1"/>
  <c r="A301" i="45" s="1"/>
  <c r="A302" i="45" s="1"/>
  <c r="A303" i="45" s="1"/>
  <c r="A304" i="45" s="1"/>
  <c r="A305" i="45" s="1"/>
  <c r="A306" i="45" s="1"/>
  <c r="A307" i="45" s="1"/>
  <c r="A308" i="45" s="1"/>
  <c r="A309" i="45" s="1"/>
  <c r="A310" i="45" s="1"/>
  <c r="A311" i="45" s="1"/>
  <c r="A312" i="45" s="1"/>
  <c r="A313" i="45" s="1"/>
  <c r="A314" i="45" s="1"/>
  <c r="A9" i="45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15" i="45" l="1"/>
  <c r="A316" i="45" s="1"/>
  <c r="F40" i="45"/>
  <c r="F43" i="45" s="1"/>
  <c r="F44" i="45" s="1"/>
  <c r="F41" i="45" l="1"/>
  <c r="F42" i="45"/>
  <c r="F314" i="45"/>
  <c r="F313" i="45"/>
  <c r="F312" i="45"/>
  <c r="F311" i="45"/>
  <c r="F310" i="45"/>
  <c r="F309" i="45"/>
  <c r="F308" i="45"/>
  <c r="F307" i="45"/>
  <c r="F306" i="45"/>
  <c r="F305" i="45"/>
  <c r="F304" i="45"/>
  <c r="F303" i="45"/>
  <c r="F302" i="45"/>
  <c r="F301" i="45"/>
  <c r="F300" i="45"/>
  <c r="F299" i="45"/>
  <c r="F298" i="45"/>
  <c r="F297" i="45"/>
  <c r="F296" i="45"/>
  <c r="F295" i="45"/>
  <c r="F294" i="45"/>
  <c r="F293" i="45"/>
  <c r="F292" i="45"/>
  <c r="F291" i="45"/>
  <c r="A172" i="45"/>
  <c r="A173" i="45" s="1"/>
  <c r="F203" i="45"/>
  <c r="F202" i="45"/>
  <c r="F201" i="45"/>
  <c r="F200" i="45"/>
  <c r="F199" i="45"/>
  <c r="F198" i="45"/>
  <c r="F197" i="45"/>
  <c r="F196" i="45"/>
  <c r="F195" i="45"/>
  <c r="F194" i="45"/>
  <c r="F193" i="45"/>
  <c r="F192" i="45"/>
  <c r="F191" i="45"/>
  <c r="F190" i="45"/>
  <c r="F189" i="45"/>
  <c r="F188" i="45"/>
  <c r="F187" i="45"/>
  <c r="F186" i="45"/>
  <c r="F185" i="45"/>
  <c r="F184" i="45"/>
  <c r="F183" i="45"/>
  <c r="F182" i="45"/>
  <c r="F181" i="45"/>
  <c r="F180" i="45"/>
  <c r="F179" i="45"/>
  <c r="F178" i="45"/>
  <c r="F177" i="45"/>
  <c r="F176" i="45"/>
  <c r="F175" i="45"/>
  <c r="F174" i="45"/>
  <c r="F173" i="45"/>
  <c r="F135" i="45"/>
  <c r="F136" i="45"/>
  <c r="F137" i="45"/>
  <c r="F138" i="45"/>
  <c r="F139" i="45"/>
  <c r="F140" i="45"/>
  <c r="F141" i="45"/>
  <c r="F142" i="45"/>
  <c r="F143" i="45"/>
  <c r="F144" i="45"/>
  <c r="F145" i="45"/>
  <c r="F146" i="45"/>
  <c r="F147" i="45"/>
  <c r="F148" i="45"/>
  <c r="F149" i="45"/>
  <c r="F150" i="45"/>
  <c r="F151" i="45"/>
  <c r="F152" i="45"/>
  <c r="F153" i="45"/>
  <c r="F154" i="45"/>
  <c r="F155" i="45"/>
  <c r="F156" i="45"/>
  <c r="F157" i="45"/>
  <c r="F158" i="45"/>
  <c r="F159" i="45"/>
  <c r="F160" i="45"/>
  <c r="F161" i="45"/>
  <c r="F134" i="45"/>
  <c r="A133" i="45"/>
  <c r="A134" i="45" s="1"/>
  <c r="F207" i="45" l="1"/>
  <c r="F317" i="45"/>
  <c r="F162" i="45"/>
  <c r="A135" i="45"/>
  <c r="A136" i="45" s="1"/>
  <c r="A137" i="45" s="1"/>
  <c r="A138" i="45" s="1"/>
  <c r="A139" i="45" s="1"/>
  <c r="A140" i="45" s="1"/>
  <c r="A141" i="45" s="1"/>
  <c r="A142" i="45" s="1"/>
  <c r="A143" i="45" s="1"/>
  <c r="A144" i="45" s="1"/>
  <c r="A145" i="45" s="1"/>
  <c r="A146" i="45" s="1"/>
  <c r="A147" i="45" s="1"/>
  <c r="A148" i="45" s="1"/>
  <c r="A149" i="45" s="1"/>
  <c r="A150" i="45" s="1"/>
  <c r="A151" i="45" s="1"/>
  <c r="A152" i="45" s="1"/>
  <c r="A153" i="45" s="1"/>
  <c r="A154" i="45" s="1"/>
  <c r="A155" i="45" s="1"/>
  <c r="A156" i="45" s="1"/>
  <c r="A157" i="45" s="1"/>
  <c r="A158" i="45" s="1"/>
  <c r="A159" i="45" s="1"/>
  <c r="A160" i="45" s="1"/>
  <c r="A161" i="45" s="1"/>
  <c r="A174" i="45"/>
  <c r="A175" i="45" s="1"/>
  <c r="A176" i="45" s="1"/>
  <c r="A177" i="45" s="1"/>
  <c r="A178" i="45" s="1"/>
  <c r="A179" i="45" s="1"/>
  <c r="A180" i="45" s="1"/>
  <c r="A181" i="45" s="1"/>
  <c r="A182" i="45" s="1"/>
  <c r="A183" i="45" s="1"/>
  <c r="A184" i="45" s="1"/>
  <c r="A185" i="45" s="1"/>
  <c r="A186" i="45" s="1"/>
  <c r="A187" i="45" s="1"/>
  <c r="A188" i="45" s="1"/>
  <c r="A189" i="45" s="1"/>
  <c r="A190" i="45" s="1"/>
  <c r="A191" i="45" s="1"/>
  <c r="A192" i="45" s="1"/>
  <c r="A193" i="45" s="1"/>
  <c r="A194" i="45" s="1"/>
  <c r="A195" i="45" s="1"/>
  <c r="A196" i="45" s="1"/>
  <c r="A197" i="45" s="1"/>
  <c r="A198" i="45" s="1"/>
  <c r="A199" i="45" s="1"/>
  <c r="A200" i="45" s="1"/>
  <c r="A201" i="45" s="1"/>
  <c r="A202" i="45" s="1"/>
  <c r="A203" i="45" s="1"/>
  <c r="A204" i="45" s="1"/>
  <c r="A205" i="45" s="1"/>
  <c r="F45" i="45"/>
  <c r="F318" i="45" l="1"/>
  <c r="F321" i="45" s="1"/>
  <c r="F322" i="45" s="1"/>
  <c r="F208" i="45"/>
  <c r="F210" i="45" s="1"/>
  <c r="F163" i="45"/>
  <c r="F165" i="45" s="1"/>
  <c r="F320" i="45" l="1"/>
  <c r="F211" i="45"/>
  <c r="F212" i="45" s="1"/>
  <c r="F319" i="45"/>
  <c r="F323" i="45" s="1"/>
  <c r="F166" i="45"/>
  <c r="F167" i="45" s="1"/>
  <c r="F164" i="45"/>
  <c r="F209" i="45"/>
  <c r="F213" i="45" s="1"/>
  <c r="F168" i="45" l="1"/>
  <c r="A414" i="50"/>
  <c r="A415" i="50" s="1"/>
  <c r="A416" i="50" s="1"/>
  <c r="A417" i="50" s="1"/>
  <c r="A418" i="50" s="1"/>
  <c r="A419" i="50" s="1"/>
  <c r="A420" i="50" s="1"/>
  <c r="A421" i="50" s="1"/>
  <c r="A422" i="50" s="1"/>
  <c r="A423" i="50" s="1"/>
  <c r="A424" i="50" s="1"/>
  <c r="A425" i="50" s="1"/>
  <c r="A426" i="50" s="1"/>
  <c r="A427" i="50" s="1"/>
  <c r="A428" i="50" s="1"/>
  <c r="A429" i="50" s="1"/>
  <c r="A430" i="50" s="1"/>
  <c r="A431" i="50" s="1"/>
  <c r="A432" i="50" s="1"/>
  <c r="A433" i="50" s="1"/>
  <c r="A434" i="50" s="1"/>
  <c r="A435" i="50" s="1"/>
  <c r="A436" i="50" s="1"/>
  <c r="A437" i="50" s="1"/>
  <c r="A438" i="50" s="1"/>
  <c r="A439" i="50" s="1"/>
  <c r="A440" i="50" s="1"/>
  <c r="A441" i="50" s="1"/>
  <c r="A442" i="50" s="1"/>
  <c r="A443" i="50" s="1"/>
  <c r="A444" i="50" s="1"/>
  <c r="A445" i="50" s="1"/>
  <c r="A446" i="50" s="1"/>
  <c r="A447" i="50" s="1"/>
  <c r="A448" i="50" s="1"/>
  <c r="A449" i="50" s="1"/>
  <c r="A450" i="50" s="1"/>
  <c r="A451" i="50" s="1"/>
  <c r="A452" i="50" s="1"/>
  <c r="A364" i="50"/>
  <c r="A365" i="50" s="1"/>
  <c r="A366" i="50" s="1"/>
  <c r="A367" i="50" s="1"/>
  <c r="A368" i="50" s="1"/>
  <c r="A369" i="50" s="1"/>
  <c r="A370" i="50" s="1"/>
  <c r="A371" i="50" s="1"/>
  <c r="A372" i="50" s="1"/>
  <c r="A373" i="50" s="1"/>
  <c r="A374" i="50" s="1"/>
  <c r="A375" i="50" s="1"/>
  <c r="A376" i="50" s="1"/>
  <c r="A377" i="50" s="1"/>
  <c r="A378" i="50" s="1"/>
  <c r="A379" i="50" s="1"/>
  <c r="A380" i="50" s="1"/>
  <c r="A381" i="50" s="1"/>
  <c r="A382" i="50" s="1"/>
  <c r="A383" i="50" s="1"/>
  <c r="A384" i="50" s="1"/>
  <c r="A385" i="50" s="1"/>
  <c r="A386" i="50" s="1"/>
  <c r="A387" i="50" s="1"/>
  <c r="A388" i="50" s="1"/>
  <c r="A389" i="50" s="1"/>
  <c r="A390" i="50" s="1"/>
  <c r="A391" i="50" s="1"/>
  <c r="A392" i="50" s="1"/>
  <c r="A393" i="50" s="1"/>
  <c r="A394" i="50" s="1"/>
  <c r="A395" i="50" s="1"/>
  <c r="A396" i="50" s="1"/>
  <c r="A397" i="50" s="1"/>
  <c r="A398" i="50" s="1"/>
  <c r="A399" i="50" s="1"/>
  <c r="A400" i="50" s="1"/>
  <c r="A401" i="50" s="1"/>
  <c r="A402" i="50" s="1"/>
  <c r="E42" i="54" l="1"/>
  <c r="F583" i="58" l="1"/>
  <c r="E582" i="58"/>
  <c r="F582" i="58" s="1"/>
  <c r="A518" i="58" l="1"/>
  <c r="A519" i="58" s="1"/>
  <c r="A520" i="58" s="1"/>
  <c r="A521" i="58" s="1"/>
  <c r="A522" i="58" s="1"/>
  <c r="A523" i="58" s="1"/>
  <c r="A524" i="58" s="1"/>
  <c r="A525" i="58" s="1"/>
  <c r="A526" i="58" s="1"/>
  <c r="A527" i="58" s="1"/>
  <c r="A528" i="58" s="1"/>
  <c r="A529" i="58" s="1"/>
  <c r="A530" i="58" s="1"/>
  <c r="A531" i="58" s="1"/>
  <c r="A532" i="58" s="1"/>
  <c r="A533" i="58" s="1"/>
  <c r="A534" i="58" s="1"/>
  <c r="A535" i="58" s="1"/>
  <c r="A536" i="58" s="1"/>
  <c r="A537" i="58" s="1"/>
  <c r="A538" i="58" s="1"/>
  <c r="A539" i="58" s="1"/>
  <c r="A540" i="58" s="1"/>
  <c r="A541" i="58" s="1"/>
  <c r="A542" i="58" s="1"/>
  <c r="A543" i="58" s="1"/>
  <c r="A544" i="58" s="1"/>
  <c r="A545" i="58" s="1"/>
  <c r="A546" i="58" s="1"/>
  <c r="A547" i="58" s="1"/>
  <c r="A548" i="58" s="1"/>
  <c r="A549" i="58" s="1"/>
  <c r="A550" i="58" s="1"/>
  <c r="A551" i="58" s="1"/>
  <c r="A552" i="58" s="1"/>
  <c r="A553" i="58" s="1"/>
  <c r="A554" i="58" s="1"/>
  <c r="A555" i="58" s="1"/>
  <c r="A556" i="58" s="1"/>
  <c r="A557" i="58" s="1"/>
  <c r="A558" i="58" s="1"/>
  <c r="A559" i="58" s="1"/>
  <c r="A560" i="58" s="1"/>
  <c r="A561" i="58" s="1"/>
  <c r="A562" i="58" s="1"/>
  <c r="A563" i="58" s="1"/>
  <c r="A564" i="58" s="1"/>
  <c r="A565" i="58" s="1"/>
  <c r="A566" i="58" s="1"/>
  <c r="A567" i="58" s="1"/>
  <c r="A568" i="58" s="1"/>
  <c r="A569" i="58" s="1"/>
  <c r="A570" i="58" s="1"/>
  <c r="A571" i="58" s="1"/>
  <c r="A572" i="58" s="1"/>
  <c r="A573" i="58" s="1"/>
  <c r="A574" i="58" s="1"/>
  <c r="A575" i="58" s="1"/>
  <c r="A576" i="58" s="1"/>
  <c r="A577" i="58" s="1"/>
  <c r="A578" i="58" s="1"/>
  <c r="A579" i="58" s="1"/>
  <c r="A580" i="58" s="1"/>
  <c r="A581" i="58" s="1"/>
  <c r="A443" i="58"/>
  <c r="A444" i="58" s="1"/>
  <c r="A445" i="58" s="1"/>
  <c r="A446" i="58" s="1"/>
  <c r="A447" i="58" s="1"/>
  <c r="A448" i="58" s="1"/>
  <c r="A449" i="58" s="1"/>
  <c r="A450" i="58" s="1"/>
  <c r="A451" i="58" s="1"/>
  <c r="A452" i="58" s="1"/>
  <c r="A453" i="58" s="1"/>
  <c r="A454" i="58" s="1"/>
  <c r="A455" i="58" s="1"/>
  <c r="A456" i="58" s="1"/>
  <c r="A457" i="58" s="1"/>
  <c r="A458" i="58" s="1"/>
  <c r="A459" i="58" s="1"/>
  <c r="A460" i="58" s="1"/>
  <c r="A461" i="58" s="1"/>
  <c r="A462" i="58" s="1"/>
  <c r="A463" i="58" s="1"/>
  <c r="A464" i="58" s="1"/>
  <c r="A465" i="58" s="1"/>
  <c r="A466" i="58" s="1"/>
  <c r="A467" i="58" s="1"/>
  <c r="A407" i="58"/>
  <c r="A408" i="58" s="1"/>
  <c r="A409" i="58" s="1"/>
  <c r="A410" i="58" s="1"/>
  <c r="A411" i="58" s="1"/>
  <c r="A412" i="58" s="1"/>
  <c r="A413" i="58" s="1"/>
  <c r="A414" i="58" s="1"/>
  <c r="A415" i="58" s="1"/>
  <c r="A416" i="58" s="1"/>
  <c r="A417" i="58" s="1"/>
  <c r="A418" i="58" s="1"/>
  <c r="A419" i="58" s="1"/>
  <c r="A420" i="58" s="1"/>
  <c r="A421" i="58" s="1"/>
  <c r="A422" i="58" s="1"/>
  <c r="A423" i="58" s="1"/>
  <c r="A424" i="58" s="1"/>
  <c r="A425" i="58" s="1"/>
  <c r="A426" i="58" s="1"/>
  <c r="A427" i="58" s="1"/>
  <c r="A428" i="58" s="1"/>
  <c r="A429" i="58" s="1"/>
  <c r="A430" i="58" s="1"/>
  <c r="A431" i="58" s="1"/>
  <c r="A371" i="58"/>
  <c r="A372" i="58" s="1"/>
  <c r="A373" i="58" s="1"/>
  <c r="A374" i="58" s="1"/>
  <c r="A375" i="58" s="1"/>
  <c r="A376" i="58" s="1"/>
  <c r="A377" i="58" s="1"/>
  <c r="A378" i="58" s="1"/>
  <c r="A379" i="58" s="1"/>
  <c r="A380" i="58" s="1"/>
  <c r="A381" i="58" s="1"/>
  <c r="A382" i="58" s="1"/>
  <c r="A383" i="58" s="1"/>
  <c r="A384" i="58" s="1"/>
  <c r="A385" i="58" s="1"/>
  <c r="A386" i="58" s="1"/>
  <c r="A387" i="58" s="1"/>
  <c r="A388" i="58" s="1"/>
  <c r="A389" i="58" s="1"/>
  <c r="A390" i="58" s="1"/>
  <c r="A391" i="58" s="1"/>
  <c r="A392" i="58" s="1"/>
  <c r="A393" i="58" s="1"/>
  <c r="A394" i="58" s="1"/>
  <c r="A395" i="58" s="1"/>
  <c r="A330" i="58"/>
  <c r="A331" i="58" s="1"/>
  <c r="A251" i="58"/>
  <c r="A252" i="58" s="1"/>
  <c r="A209" i="58"/>
  <c r="A210" i="58" s="1"/>
  <c r="A169" i="58"/>
  <c r="A170" i="58" s="1"/>
  <c r="A129" i="58"/>
  <c r="A130" i="58" s="1"/>
  <c r="A93" i="58"/>
  <c r="A94" i="58" s="1"/>
  <c r="A95" i="58" s="1"/>
  <c r="A96" i="58" s="1"/>
  <c r="A97" i="58" s="1"/>
  <c r="A98" i="58" s="1"/>
  <c r="A99" i="58" s="1"/>
  <c r="A100" i="58" s="1"/>
  <c r="A101" i="58" s="1"/>
  <c r="A102" i="58" s="1"/>
  <c r="A103" i="58" s="1"/>
  <c r="A104" i="58" s="1"/>
  <c r="A105" i="58" s="1"/>
  <c r="A106" i="58" s="1"/>
  <c r="A107" i="58" s="1"/>
  <c r="A108" i="58" s="1"/>
  <c r="A109" i="58" s="1"/>
  <c r="A110" i="58" s="1"/>
  <c r="A111" i="58" s="1"/>
  <c r="A112" i="58" s="1"/>
  <c r="A113" i="58" s="1"/>
  <c r="A114" i="58" s="1"/>
  <c r="A115" i="58" s="1"/>
  <c r="A116" i="58" s="1"/>
  <c r="A117" i="58" s="1"/>
  <c r="A11" i="58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F218" i="54"/>
  <c r="E217" i="54"/>
  <c r="F217" i="54" s="1"/>
  <c r="F93" i="54"/>
  <c r="E92" i="54"/>
  <c r="F92" i="54" s="1"/>
  <c r="A332" i="58" l="1"/>
  <c r="A333" i="58" s="1"/>
  <c r="A334" i="58" s="1"/>
  <c r="A335" i="58" s="1"/>
  <c r="A336" i="58" s="1"/>
  <c r="A337" i="58" s="1"/>
  <c r="A338" i="58" s="1"/>
  <c r="A339" i="58" s="1"/>
  <c r="A340" i="58" s="1"/>
  <c r="A341" i="58" s="1"/>
  <c r="A342" i="58" s="1"/>
  <c r="A343" i="58" s="1"/>
  <c r="A344" i="58" s="1"/>
  <c r="A345" i="58" s="1"/>
  <c r="A346" i="58" s="1"/>
  <c r="A347" i="58" s="1"/>
  <c r="A348" i="58" s="1"/>
  <c r="A349" i="58" s="1"/>
  <c r="A350" i="58" s="1"/>
  <c r="A351" i="58" s="1"/>
  <c r="A352" i="58" s="1"/>
  <c r="A353" i="58" s="1"/>
  <c r="A354" i="58" s="1"/>
  <c r="A355" i="58" s="1"/>
  <c r="A356" i="58" s="1"/>
  <c r="A357" i="58" s="1"/>
  <c r="A358" i="58" s="1"/>
  <c r="A359" i="58" s="1"/>
  <c r="A211" i="58"/>
  <c r="A212" i="58" s="1"/>
  <c r="A213" i="58" s="1"/>
  <c r="A214" i="58" s="1"/>
  <c r="A215" i="58" s="1"/>
  <c r="A216" i="58" s="1"/>
  <c r="A217" i="58" s="1"/>
  <c r="A218" i="58" s="1"/>
  <c r="A219" i="58" s="1"/>
  <c r="A220" i="58" s="1"/>
  <c r="A221" i="58" s="1"/>
  <c r="A222" i="58" s="1"/>
  <c r="A223" i="58" s="1"/>
  <c r="A224" i="58" s="1"/>
  <c r="A225" i="58" s="1"/>
  <c r="A226" i="58" s="1"/>
  <c r="A227" i="58" s="1"/>
  <c r="A228" i="58" s="1"/>
  <c r="A229" i="58" s="1"/>
  <c r="A230" i="58" s="1"/>
  <c r="A231" i="58" s="1"/>
  <c r="A232" i="58" s="1"/>
  <c r="A233" i="58" s="1"/>
  <c r="A234" i="58" s="1"/>
  <c r="A235" i="58" s="1"/>
  <c r="A236" i="58" s="1"/>
  <c r="A237" i="58" s="1"/>
  <c r="A171" i="58"/>
  <c r="A172" i="58" s="1"/>
  <c r="A173" i="58" s="1"/>
  <c r="A174" i="58" s="1"/>
  <c r="A175" i="58" s="1"/>
  <c r="A176" i="58" s="1"/>
  <c r="A177" i="58" s="1"/>
  <c r="A178" i="58" s="1"/>
  <c r="A179" i="58" s="1"/>
  <c r="A180" i="58" s="1"/>
  <c r="A181" i="58" s="1"/>
  <c r="A182" i="58" s="1"/>
  <c r="A183" i="58" s="1"/>
  <c r="A184" i="58" s="1"/>
  <c r="A185" i="58" s="1"/>
  <c r="A186" i="58" s="1"/>
  <c r="A187" i="58" s="1"/>
  <c r="A188" i="58" s="1"/>
  <c r="A189" i="58" s="1"/>
  <c r="A190" i="58" s="1"/>
  <c r="A191" i="58" s="1"/>
  <c r="A192" i="58" s="1"/>
  <c r="A193" i="58" s="1"/>
  <c r="A194" i="58" s="1"/>
  <c r="A195" i="58" s="1"/>
  <c r="A196" i="58" s="1"/>
  <c r="A197" i="58" s="1"/>
  <c r="A131" i="58"/>
  <c r="A132" i="58" s="1"/>
  <c r="A133" i="58" s="1"/>
  <c r="A134" i="58" s="1"/>
  <c r="A135" i="58" s="1"/>
  <c r="A136" i="58" s="1"/>
  <c r="A137" i="58" s="1"/>
  <c r="A138" i="58" s="1"/>
  <c r="A139" i="58" s="1"/>
  <c r="A140" i="58" s="1"/>
  <c r="A141" i="58" s="1"/>
  <c r="A142" i="58" s="1"/>
  <c r="A143" i="58" s="1"/>
  <c r="A144" i="58" s="1"/>
  <c r="A145" i="58" s="1"/>
  <c r="A146" i="58" s="1"/>
  <c r="A147" i="58" s="1"/>
  <c r="A148" i="58" s="1"/>
  <c r="A149" i="58" s="1"/>
  <c r="A150" i="58" s="1"/>
  <c r="A151" i="58" s="1"/>
  <c r="A152" i="58" s="1"/>
  <c r="A153" i="58" s="1"/>
  <c r="A154" i="58" s="1"/>
  <c r="A155" i="58" s="1"/>
  <c r="A156" i="58" s="1"/>
  <c r="A157" i="58" s="1"/>
  <c r="A253" i="58"/>
  <c r="A254" i="58" s="1"/>
  <c r="A255" i="58" s="1"/>
  <c r="A256" i="58" s="1"/>
  <c r="A257" i="58" s="1"/>
  <c r="A258" i="58" s="1"/>
  <c r="A259" i="58" s="1"/>
  <c r="A260" i="58" s="1"/>
  <c r="A261" i="58" s="1"/>
  <c r="A262" i="58" s="1"/>
  <c r="A263" i="58" s="1"/>
  <c r="A264" i="58" s="1"/>
  <c r="A265" i="58" s="1"/>
  <c r="A266" i="58" s="1"/>
  <c r="A267" i="58" s="1"/>
  <c r="A268" i="58" s="1"/>
  <c r="A269" i="58" s="1"/>
  <c r="A270" i="58" s="1"/>
  <c r="A271" i="58" s="1"/>
  <c r="F43" i="54"/>
  <c r="F42" i="54"/>
  <c r="F510" i="53"/>
  <c r="E509" i="53"/>
  <c r="F509" i="53" s="1"/>
  <c r="A272" i="58" l="1"/>
  <c r="A273" i="58" s="1"/>
  <c r="A274" i="58" s="1"/>
  <c r="A275" i="58" s="1"/>
  <c r="A276" i="58" s="1"/>
  <c r="A277" i="58" s="1"/>
  <c r="A278" i="58" s="1"/>
  <c r="F672" i="52"/>
  <c r="E671" i="52"/>
  <c r="F671" i="52" s="1"/>
  <c r="A56" i="52" l="1"/>
  <c r="A57" i="52" s="1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68" i="52" s="1"/>
  <c r="A37" i="52"/>
  <c r="A38" i="52" s="1"/>
  <c r="A39" i="52" s="1"/>
  <c r="A40" i="52" s="1"/>
  <c r="A41" i="52" s="1"/>
  <c r="A42" i="52" s="1"/>
  <c r="A43" i="52" s="1"/>
  <c r="A44" i="52" s="1"/>
  <c r="A7" i="52"/>
  <c r="A8" i="52" s="1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309" i="50"/>
  <c r="A310" i="50" s="1"/>
  <c r="A311" i="50" s="1"/>
  <c r="A312" i="50" s="1"/>
  <c r="A313" i="50" s="1"/>
  <c r="A314" i="50" s="1"/>
  <c r="A315" i="50" s="1"/>
  <c r="A316" i="50" s="1"/>
  <c r="A317" i="50" s="1"/>
  <c r="A318" i="50" s="1"/>
  <c r="A319" i="50" s="1"/>
  <c r="A320" i="50" s="1"/>
  <c r="A321" i="50" s="1"/>
  <c r="A322" i="50" s="1"/>
  <c r="A323" i="50" s="1"/>
  <c r="A324" i="50" s="1"/>
  <c r="A325" i="50" s="1"/>
  <c r="A326" i="50" s="1"/>
  <c r="A327" i="50" s="1"/>
  <c r="A328" i="50" s="1"/>
  <c r="A329" i="50" s="1"/>
  <c r="A330" i="50" s="1"/>
  <c r="A331" i="50" s="1"/>
  <c r="A332" i="50" s="1"/>
  <c r="A333" i="50" s="1"/>
  <c r="A334" i="50" s="1"/>
  <c r="A335" i="50" s="1"/>
  <c r="A336" i="50" s="1"/>
  <c r="A337" i="50" s="1"/>
  <c r="A338" i="50" s="1"/>
  <c r="A339" i="50" s="1"/>
  <c r="A340" i="50" s="1"/>
  <c r="A341" i="50" s="1"/>
  <c r="A342" i="50" s="1"/>
  <c r="A343" i="50" s="1"/>
  <c r="A344" i="50" s="1"/>
  <c r="A277" i="50"/>
  <c r="A278" i="50" s="1"/>
  <c r="A279" i="50" s="1"/>
  <c r="A280" i="50" s="1"/>
  <c r="A281" i="50" s="1"/>
  <c r="A282" i="50" s="1"/>
  <c r="A283" i="50" s="1"/>
  <c r="A284" i="50" s="1"/>
  <c r="A285" i="50" s="1"/>
  <c r="A286" i="50" s="1"/>
  <c r="A287" i="50" s="1"/>
  <c r="A288" i="50" s="1"/>
  <c r="A289" i="50" s="1"/>
  <c r="A290" i="50" s="1"/>
  <c r="A291" i="50" s="1"/>
  <c r="A230" i="50"/>
  <c r="A231" i="50" s="1"/>
  <c r="A232" i="50" s="1"/>
  <c r="A233" i="50" s="1"/>
  <c r="A234" i="50" s="1"/>
  <c r="A235" i="50" s="1"/>
  <c r="A236" i="50" s="1"/>
  <c r="A237" i="50" s="1"/>
  <c r="A238" i="50" s="1"/>
  <c r="A239" i="50" s="1"/>
  <c r="A240" i="50" s="1"/>
  <c r="A241" i="50" s="1"/>
  <c r="A242" i="50" s="1"/>
  <c r="A182" i="50"/>
  <c r="A183" i="50" s="1"/>
  <c r="A184" i="50" s="1"/>
  <c r="A185" i="50" s="1"/>
  <c r="A186" i="50" s="1"/>
  <c r="A187" i="50" s="1"/>
  <c r="A188" i="50" s="1"/>
  <c r="A189" i="50" s="1"/>
  <c r="A190" i="50" s="1"/>
  <c r="A191" i="50" s="1"/>
  <c r="A192" i="50" s="1"/>
  <c r="A193" i="50" s="1"/>
  <c r="A194" i="50" s="1"/>
  <c r="A195" i="50" s="1"/>
  <c r="A196" i="50" s="1"/>
  <c r="A197" i="50" s="1"/>
  <c r="A198" i="50" s="1"/>
  <c r="A199" i="50" s="1"/>
  <c r="A200" i="50" s="1"/>
  <c r="A201" i="50" s="1"/>
  <c r="A202" i="50" s="1"/>
  <c r="A203" i="50" s="1"/>
  <c r="A204" i="50" s="1"/>
  <c r="A141" i="50"/>
  <c r="A142" i="50" s="1"/>
  <c r="A143" i="50" s="1"/>
  <c r="A144" i="50" s="1"/>
  <c r="A145" i="50" s="1"/>
  <c r="A146" i="50" s="1"/>
  <c r="A147" i="50" s="1"/>
  <c r="A148" i="50" s="1"/>
  <c r="A149" i="50" s="1"/>
  <c r="A150" i="50" s="1"/>
  <c r="A151" i="50" s="1"/>
  <c r="A152" i="50" s="1"/>
  <c r="A153" i="50" s="1"/>
  <c r="A154" i="50" s="1"/>
  <c r="A155" i="50" s="1"/>
  <c r="A156" i="50" s="1"/>
  <c r="A157" i="50" s="1"/>
  <c r="A158" i="50" s="1"/>
  <c r="A159" i="50" s="1"/>
  <c r="A160" i="50" s="1"/>
  <c r="A161" i="50" s="1"/>
  <c r="A162" i="50" s="1"/>
  <c r="A163" i="50" s="1"/>
  <c r="A164" i="50" s="1"/>
  <c r="A165" i="50" s="1"/>
  <c r="A166" i="50" s="1"/>
  <c r="A167" i="50" s="1"/>
  <c r="A168" i="50" s="1"/>
  <c r="A169" i="50" s="1"/>
  <c r="A170" i="50" s="1"/>
  <c r="A106" i="50"/>
  <c r="A107" i="50" s="1"/>
  <c r="A65" i="50"/>
  <c r="A66" i="50" s="1"/>
  <c r="A67" i="50" s="1"/>
  <c r="A68" i="50" s="1"/>
  <c r="A69" i="50" s="1"/>
  <c r="A70" i="50" s="1"/>
  <c r="A71" i="50" s="1"/>
  <c r="A72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2" i="50" s="1"/>
  <c r="A93" i="50" s="1"/>
  <c r="A94" i="50" s="1"/>
  <c r="A11" i="50"/>
  <c r="E344" i="50"/>
  <c r="F344" i="50" s="1"/>
  <c r="F291" i="50"/>
  <c r="E290" i="50"/>
  <c r="F290" i="50" s="1"/>
  <c r="A69" i="52" l="1"/>
  <c r="A70" i="52" s="1"/>
  <c r="A71" i="52" s="1"/>
  <c r="A72" i="52" s="1"/>
  <c r="A73" i="52" s="1"/>
  <c r="A74" i="52" s="1"/>
  <c r="A75" i="52" s="1"/>
  <c r="A76" i="52" s="1"/>
  <c r="A77" i="52" s="1"/>
  <c r="A78" i="52" s="1"/>
  <c r="A79" i="52" s="1"/>
  <c r="A243" i="50"/>
  <c r="A244" i="50" s="1"/>
  <c r="A245" i="50" s="1"/>
  <c r="A246" i="50" s="1"/>
  <c r="A247" i="50" s="1"/>
  <c r="A248" i="50" s="1"/>
  <c r="A249" i="50" s="1"/>
  <c r="A250" i="50" s="1"/>
  <c r="A251" i="50" s="1"/>
  <c r="A252" i="50" s="1"/>
  <c r="A253" i="50" s="1"/>
  <c r="A254" i="50" s="1"/>
  <c r="A255" i="50" s="1"/>
  <c r="A256" i="50" s="1"/>
  <c r="A257" i="50" s="1"/>
  <c r="A258" i="50" s="1"/>
  <c r="A259" i="50" s="1"/>
  <c r="A260" i="50" s="1"/>
  <c r="A261" i="50" s="1"/>
  <c r="A262" i="50" s="1"/>
  <c r="A263" i="50" s="1"/>
  <c r="A264" i="50" s="1"/>
  <c r="A265" i="50" s="1"/>
  <c r="A205" i="50"/>
  <c r="A206" i="50" s="1"/>
  <c r="A207" i="50" s="1"/>
  <c r="A208" i="50" s="1"/>
  <c r="A209" i="50" s="1"/>
  <c r="A210" i="50" s="1"/>
  <c r="A211" i="50" s="1"/>
  <c r="A108" i="50"/>
  <c r="A109" i="50" s="1"/>
  <c r="A110" i="50" s="1"/>
  <c r="A111" i="50" s="1"/>
  <c r="A112" i="50" s="1"/>
  <c r="A113" i="50" s="1"/>
  <c r="A114" i="50" s="1"/>
  <c r="A115" i="50" s="1"/>
  <c r="A116" i="50" s="1"/>
  <c r="A117" i="50" s="1"/>
  <c r="A118" i="50" s="1"/>
  <c r="A119" i="50" s="1"/>
  <c r="A120" i="50" s="1"/>
  <c r="A121" i="50" s="1"/>
  <c r="A122" i="50" s="1"/>
  <c r="A123" i="50" s="1"/>
  <c r="A124" i="50" s="1"/>
  <c r="A125" i="50" s="1"/>
  <c r="A126" i="50" s="1"/>
  <c r="A127" i="50" s="1"/>
  <c r="A128" i="50" s="1"/>
  <c r="A129" i="50" s="1"/>
  <c r="F490" i="50"/>
  <c r="A12" i="50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F289" i="50"/>
  <c r="F288" i="50"/>
  <c r="F287" i="50"/>
  <c r="F286" i="50"/>
  <c r="F285" i="50"/>
  <c r="F284" i="50"/>
  <c r="F282" i="50"/>
  <c r="F281" i="50"/>
  <c r="F280" i="50"/>
  <c r="F278" i="50"/>
  <c r="F562" i="48"/>
  <c r="E561" i="48"/>
  <c r="F561" i="48" s="1"/>
  <c r="A80" i="52" l="1"/>
  <c r="A81" i="52" s="1"/>
  <c r="A82" i="52" s="1"/>
  <c r="A83" i="52" s="1"/>
  <c r="A84" i="52" s="1"/>
  <c r="A212" i="50"/>
  <c r="A213" i="50" s="1"/>
  <c r="A214" i="50" s="1"/>
  <c r="A215" i="50" s="1"/>
  <c r="F493" i="50"/>
  <c r="F494" i="50" s="1"/>
  <c r="F492" i="50"/>
  <c r="F491" i="50"/>
  <c r="F292" i="50"/>
  <c r="A531" i="48"/>
  <c r="A532" i="48" s="1"/>
  <c r="A449" i="48"/>
  <c r="A450" i="48" s="1"/>
  <c r="A451" i="48" s="1"/>
  <c r="A452" i="48" s="1"/>
  <c r="A453" i="48" s="1"/>
  <c r="A454" i="48" s="1"/>
  <c r="A455" i="48" s="1"/>
  <c r="A456" i="48" s="1"/>
  <c r="A457" i="48" s="1"/>
  <c r="A458" i="48" s="1"/>
  <c r="A459" i="48" s="1"/>
  <c r="A460" i="48" s="1"/>
  <c r="A461" i="48" s="1"/>
  <c r="A462" i="48" s="1"/>
  <c r="A463" i="48" s="1"/>
  <c r="A464" i="48" s="1"/>
  <c r="A465" i="48" s="1"/>
  <c r="A466" i="48" s="1"/>
  <c r="A467" i="48" s="1"/>
  <c r="A468" i="48" s="1"/>
  <c r="A469" i="48" s="1"/>
  <c r="A470" i="48" s="1"/>
  <c r="A471" i="48" s="1"/>
  <c r="A472" i="48" s="1"/>
  <c r="A409" i="48"/>
  <c r="A410" i="48" s="1"/>
  <c r="A375" i="48"/>
  <c r="A336" i="48"/>
  <c r="A301" i="48"/>
  <c r="A302" i="48" s="1"/>
  <c r="A303" i="48" s="1"/>
  <c r="A304" i="48" s="1"/>
  <c r="A305" i="48" s="1"/>
  <c r="A306" i="48" s="1"/>
  <c r="A307" i="48" s="1"/>
  <c r="A308" i="48" s="1"/>
  <c r="A309" i="48" s="1"/>
  <c r="A310" i="48" s="1"/>
  <c r="A311" i="48" s="1"/>
  <c r="A312" i="48" s="1"/>
  <c r="A313" i="48" s="1"/>
  <c r="A314" i="48" s="1"/>
  <c r="A315" i="48" s="1"/>
  <c r="A316" i="48" s="1"/>
  <c r="A317" i="48" s="1"/>
  <c r="A318" i="48" s="1"/>
  <c r="A319" i="48" s="1"/>
  <c r="A320" i="48" s="1"/>
  <c r="A321" i="48" s="1"/>
  <c r="A322" i="48" s="1"/>
  <c r="A323" i="48" s="1"/>
  <c r="A324" i="48" s="1"/>
  <c r="A261" i="48"/>
  <c r="A262" i="48" s="1"/>
  <c r="A263" i="48" s="1"/>
  <c r="A264" i="48" s="1"/>
  <c r="A265" i="48" s="1"/>
  <c r="A266" i="48" s="1"/>
  <c r="A267" i="48" s="1"/>
  <c r="A268" i="48" s="1"/>
  <c r="A269" i="48" s="1"/>
  <c r="A270" i="48" s="1"/>
  <c r="A271" i="48" s="1"/>
  <c r="A272" i="48" s="1"/>
  <c r="A273" i="48" s="1"/>
  <c r="A274" i="48" s="1"/>
  <c r="A275" i="48" s="1"/>
  <c r="A276" i="48" s="1"/>
  <c r="A277" i="48" s="1"/>
  <c r="A278" i="48" s="1"/>
  <c r="A279" i="48" s="1"/>
  <c r="A280" i="48" s="1"/>
  <c r="A281" i="48" s="1"/>
  <c r="A282" i="48" s="1"/>
  <c r="A283" i="48" s="1"/>
  <c r="A284" i="48" s="1"/>
  <c r="A285" i="48" s="1"/>
  <c r="A286" i="48" s="1"/>
  <c r="A287" i="48" s="1"/>
  <c r="A288" i="48" s="1"/>
  <c r="A289" i="48" s="1"/>
  <c r="A229" i="48"/>
  <c r="A230" i="48" s="1"/>
  <c r="A231" i="48" s="1"/>
  <c r="A232" i="48" s="1"/>
  <c r="A233" i="48" s="1"/>
  <c r="A234" i="48" s="1"/>
  <c r="A235" i="48" s="1"/>
  <c r="A236" i="48" s="1"/>
  <c r="A237" i="48" s="1"/>
  <c r="A238" i="48" s="1"/>
  <c r="A239" i="48" s="1"/>
  <c r="A240" i="48" s="1"/>
  <c r="A241" i="48" s="1"/>
  <c r="A242" i="48" s="1"/>
  <c r="A243" i="48" s="1"/>
  <c r="A244" i="48" s="1"/>
  <c r="A245" i="48" s="1"/>
  <c r="A246" i="48" s="1"/>
  <c r="A247" i="48" s="1"/>
  <c r="A248" i="48" s="1"/>
  <c r="A249" i="48" s="1"/>
  <c r="A200" i="48"/>
  <c r="A201" i="48" s="1"/>
  <c r="A202" i="48" s="1"/>
  <c r="A203" i="48" s="1"/>
  <c r="A204" i="48" s="1"/>
  <c r="A205" i="48" s="1"/>
  <c r="A206" i="48" s="1"/>
  <c r="A207" i="48" s="1"/>
  <c r="A208" i="48" s="1"/>
  <c r="A209" i="48" s="1"/>
  <c r="A210" i="48" s="1"/>
  <c r="A211" i="48" s="1"/>
  <c r="A212" i="48" s="1"/>
  <c r="A213" i="48" s="1"/>
  <c r="A214" i="48" s="1"/>
  <c r="A215" i="48" s="1"/>
  <c r="A216" i="48" s="1"/>
  <c r="A160" i="48"/>
  <c r="A161" i="48" s="1"/>
  <c r="A126" i="48"/>
  <c r="A82" i="48"/>
  <c r="A48" i="48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68" i="48" s="1"/>
  <c r="A69" i="48" s="1"/>
  <c r="A70" i="48" s="1"/>
  <c r="A8" i="48"/>
  <c r="A533" i="47"/>
  <c r="A534" i="47" s="1"/>
  <c r="A535" i="47" s="1"/>
  <c r="A536" i="47" s="1"/>
  <c r="A537" i="47" s="1"/>
  <c r="A538" i="47" s="1"/>
  <c r="A539" i="47" s="1"/>
  <c r="A540" i="47" s="1"/>
  <c r="A541" i="47" s="1"/>
  <c r="A542" i="47" s="1"/>
  <c r="A543" i="47" s="1"/>
  <c r="A544" i="47" s="1"/>
  <c r="A545" i="47" s="1"/>
  <c r="A546" i="47" s="1"/>
  <c r="A547" i="47" s="1"/>
  <c r="A497" i="47"/>
  <c r="A498" i="47" s="1"/>
  <c r="A455" i="47"/>
  <c r="A456" i="47" s="1"/>
  <c r="A533" i="48" l="1"/>
  <c r="A534" i="48" s="1"/>
  <c r="A535" i="48" s="1"/>
  <c r="A536" i="48" s="1"/>
  <c r="A537" i="48" s="1"/>
  <c r="A538" i="48" s="1"/>
  <c r="A539" i="48" s="1"/>
  <c r="A540" i="48" s="1"/>
  <c r="A541" i="48" s="1"/>
  <c r="A542" i="48" s="1"/>
  <c r="A543" i="48" s="1"/>
  <c r="A544" i="48" s="1"/>
  <c r="A545" i="48" s="1"/>
  <c r="A546" i="48" s="1"/>
  <c r="A547" i="48" s="1"/>
  <c r="A548" i="48" s="1"/>
  <c r="A549" i="48" s="1"/>
  <c r="A550" i="48" s="1"/>
  <c r="A551" i="48" s="1"/>
  <c r="A552" i="48" s="1"/>
  <c r="A553" i="48" s="1"/>
  <c r="A554" i="48" s="1"/>
  <c r="A555" i="48" s="1"/>
  <c r="A556" i="48" s="1"/>
  <c r="A557" i="48" s="1"/>
  <c r="A558" i="48" s="1"/>
  <c r="A559" i="48" s="1"/>
  <c r="A560" i="48" s="1"/>
  <c r="A561" i="48" s="1"/>
  <c r="A562" i="48" s="1"/>
  <c r="A499" i="47"/>
  <c r="A500" i="47" s="1"/>
  <c r="A501" i="47" s="1"/>
  <c r="A502" i="47" s="1"/>
  <c r="A503" i="47" s="1"/>
  <c r="A504" i="47" s="1"/>
  <c r="A505" i="47" s="1"/>
  <c r="A506" i="47" s="1"/>
  <c r="A507" i="47" s="1"/>
  <c r="A508" i="47" s="1"/>
  <c r="A509" i="47" s="1"/>
  <c r="A510" i="47" s="1"/>
  <c r="A511" i="47" s="1"/>
  <c r="A512" i="47" s="1"/>
  <c r="A513" i="47" s="1"/>
  <c r="A514" i="47" s="1"/>
  <c r="A515" i="47" s="1"/>
  <c r="A516" i="47" s="1"/>
  <c r="A517" i="47" s="1"/>
  <c r="A518" i="47" s="1"/>
  <c r="A519" i="47" s="1"/>
  <c r="A520" i="47" s="1"/>
  <c r="A216" i="50"/>
  <c r="A217" i="50" s="1"/>
  <c r="A411" i="48"/>
  <c r="A412" i="48" s="1"/>
  <c r="A413" i="48" s="1"/>
  <c r="A414" i="48" s="1"/>
  <c r="A415" i="48" s="1"/>
  <c r="A416" i="48" s="1"/>
  <c r="A417" i="48" s="1"/>
  <c r="A418" i="48" s="1"/>
  <c r="A419" i="48" s="1"/>
  <c r="A420" i="48" s="1"/>
  <c r="A421" i="48" s="1"/>
  <c r="A422" i="48" s="1"/>
  <c r="A423" i="48" s="1"/>
  <c r="A424" i="48" s="1"/>
  <c r="A425" i="48" s="1"/>
  <c r="A426" i="48" s="1"/>
  <c r="A427" i="48" s="1"/>
  <c r="A428" i="48" s="1"/>
  <c r="A429" i="48" s="1"/>
  <c r="A430" i="48" s="1"/>
  <c r="A431" i="48" s="1"/>
  <c r="A432" i="48" s="1"/>
  <c r="A433" i="48" s="1"/>
  <c r="A434" i="48" s="1"/>
  <c r="A435" i="48" s="1"/>
  <c r="A436" i="48" s="1"/>
  <c r="A437" i="48" s="1"/>
  <c r="A376" i="48"/>
  <c r="A377" i="48" s="1"/>
  <c r="A378" i="48" s="1"/>
  <c r="A379" i="48" s="1"/>
  <c r="A380" i="48" s="1"/>
  <c r="A381" i="48" s="1"/>
  <c r="A382" i="48" s="1"/>
  <c r="A383" i="48" s="1"/>
  <c r="A384" i="48" s="1"/>
  <c r="A385" i="48" s="1"/>
  <c r="A386" i="48" s="1"/>
  <c r="A387" i="48" s="1"/>
  <c r="A388" i="48" s="1"/>
  <c r="A389" i="48" s="1"/>
  <c r="A390" i="48" s="1"/>
  <c r="A391" i="48" s="1"/>
  <c r="A392" i="48" s="1"/>
  <c r="A393" i="48" s="1"/>
  <c r="A394" i="48" s="1"/>
  <c r="A395" i="48" s="1"/>
  <c r="A396" i="48" s="1"/>
  <c r="A397" i="48" s="1"/>
  <c r="A337" i="48"/>
  <c r="A338" i="48" s="1"/>
  <c r="A339" i="48" s="1"/>
  <c r="A340" i="48" s="1"/>
  <c r="A341" i="48" s="1"/>
  <c r="A342" i="48" s="1"/>
  <c r="A343" i="48" s="1"/>
  <c r="A344" i="48" s="1"/>
  <c r="A345" i="48" s="1"/>
  <c r="A346" i="48" s="1"/>
  <c r="A347" i="48" s="1"/>
  <c r="A348" i="48" s="1"/>
  <c r="A349" i="48" s="1"/>
  <c r="A350" i="48" s="1"/>
  <c r="A351" i="48" s="1"/>
  <c r="A352" i="48" s="1"/>
  <c r="A353" i="48" s="1"/>
  <c r="A354" i="48" s="1"/>
  <c r="A355" i="48" s="1"/>
  <c r="A356" i="48" s="1"/>
  <c r="A357" i="48" s="1"/>
  <c r="A358" i="48" s="1"/>
  <c r="A359" i="48" s="1"/>
  <c r="A360" i="48" s="1"/>
  <c r="A361" i="48" s="1"/>
  <c r="A362" i="48" s="1"/>
  <c r="A363" i="48" s="1"/>
  <c r="A162" i="48"/>
  <c r="A163" i="48" s="1"/>
  <c r="A164" i="48" s="1"/>
  <c r="A165" i="48" s="1"/>
  <c r="A166" i="48" s="1"/>
  <c r="A167" i="48" s="1"/>
  <c r="A168" i="48" s="1"/>
  <c r="A169" i="48" s="1"/>
  <c r="A170" i="48" s="1"/>
  <c r="A171" i="48" s="1"/>
  <c r="A172" i="48" s="1"/>
  <c r="A173" i="48" s="1"/>
  <c r="A174" i="48" s="1"/>
  <c r="A175" i="48" s="1"/>
  <c r="A176" i="48" s="1"/>
  <c r="A177" i="48" s="1"/>
  <c r="A178" i="48" s="1"/>
  <c r="A179" i="48" s="1"/>
  <c r="A180" i="48" s="1"/>
  <c r="A181" i="48" s="1"/>
  <c r="A182" i="48" s="1"/>
  <c r="A183" i="48" s="1"/>
  <c r="A184" i="48" s="1"/>
  <c r="A185" i="48" s="1"/>
  <c r="A186" i="48" s="1"/>
  <c r="A187" i="48" s="1"/>
  <c r="A127" i="48"/>
  <c r="A128" i="48" s="1"/>
  <c r="A129" i="48" s="1"/>
  <c r="A130" i="48" s="1"/>
  <c r="A131" i="48" s="1"/>
  <c r="A132" i="48" s="1"/>
  <c r="A133" i="48" s="1"/>
  <c r="A134" i="48" s="1"/>
  <c r="A135" i="48" s="1"/>
  <c r="A136" i="48" s="1"/>
  <c r="A137" i="48" s="1"/>
  <c r="A138" i="48" s="1"/>
  <c r="A139" i="48" s="1"/>
  <c r="A140" i="48" s="1"/>
  <c r="A141" i="48" s="1"/>
  <c r="A142" i="48" s="1"/>
  <c r="A143" i="48" s="1"/>
  <c r="A144" i="48" s="1"/>
  <c r="A145" i="48" s="1"/>
  <c r="A146" i="48" s="1"/>
  <c r="A147" i="48" s="1"/>
  <c r="A148" i="48" s="1"/>
  <c r="A83" i="48"/>
  <c r="A84" i="48" s="1"/>
  <c r="A85" i="48" s="1"/>
  <c r="A86" i="48" s="1"/>
  <c r="A87" i="48" s="1"/>
  <c r="A88" i="48" s="1"/>
  <c r="A89" i="48" s="1"/>
  <c r="A90" i="48" s="1"/>
  <c r="A91" i="48" s="1"/>
  <c r="A92" i="48" s="1"/>
  <c r="A93" i="48" s="1"/>
  <c r="A94" i="48" s="1"/>
  <c r="A95" i="48" s="1"/>
  <c r="A96" i="48" s="1"/>
  <c r="A97" i="48" s="1"/>
  <c r="A98" i="48" s="1"/>
  <c r="A99" i="48" s="1"/>
  <c r="A100" i="48" s="1"/>
  <c r="A101" i="48" s="1"/>
  <c r="A102" i="48" s="1"/>
  <c r="A103" i="48" s="1"/>
  <c r="A104" i="48" s="1"/>
  <c r="A105" i="48" s="1"/>
  <c r="A106" i="48" s="1"/>
  <c r="A107" i="48" s="1"/>
  <c r="A108" i="48" s="1"/>
  <c r="A109" i="48" s="1"/>
  <c r="A110" i="48" s="1"/>
  <c r="A111" i="48" s="1"/>
  <c r="A112" i="48" s="1"/>
  <c r="A113" i="48" s="1"/>
  <c r="A114" i="48" s="1"/>
  <c r="A9" i="48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457" i="47"/>
  <c r="A458" i="47" s="1"/>
  <c r="A459" i="47" s="1"/>
  <c r="A460" i="47" s="1"/>
  <c r="A461" i="47" s="1"/>
  <c r="A462" i="47" s="1"/>
  <c r="A463" i="47" s="1"/>
  <c r="A464" i="47" s="1"/>
  <c r="A465" i="47" s="1"/>
  <c r="A466" i="47" s="1"/>
  <c r="A467" i="47" s="1"/>
  <c r="A468" i="47" s="1"/>
  <c r="A469" i="47" s="1"/>
  <c r="A470" i="47" s="1"/>
  <c r="A471" i="47" s="1"/>
  <c r="A472" i="47" s="1"/>
  <c r="A473" i="47" s="1"/>
  <c r="A474" i="47" s="1"/>
  <c r="A475" i="47" s="1"/>
  <c r="A476" i="47" s="1"/>
  <c r="A477" i="47" s="1"/>
  <c r="A478" i="47" s="1"/>
  <c r="A479" i="47" s="1"/>
  <c r="A480" i="47" s="1"/>
  <c r="A481" i="47" s="1"/>
  <c r="A482" i="47" s="1"/>
  <c r="A483" i="47" s="1"/>
  <c r="A484" i="47" s="1"/>
  <c r="A485" i="47" s="1"/>
  <c r="M557" i="47"/>
  <c r="F495" i="50"/>
  <c r="A413" i="47" l="1"/>
  <c r="A414" i="47" s="1"/>
  <c r="A372" i="47"/>
  <c r="A373" i="47" s="1"/>
  <c r="A374" i="47" s="1"/>
  <c r="A375" i="47" s="1"/>
  <c r="A376" i="47" s="1"/>
  <c r="A377" i="47" s="1"/>
  <c r="A378" i="47" s="1"/>
  <c r="A379" i="47" s="1"/>
  <c r="A380" i="47" s="1"/>
  <c r="A381" i="47" s="1"/>
  <c r="A382" i="47" s="1"/>
  <c r="A383" i="47" s="1"/>
  <c r="A384" i="47" s="1"/>
  <c r="A385" i="47" s="1"/>
  <c r="F437" i="47"/>
  <c r="E436" i="47"/>
  <c r="F436" i="47" s="1"/>
  <c r="A335" i="47"/>
  <c r="A336" i="47" s="1"/>
  <c r="A337" i="47" s="1"/>
  <c r="A338" i="47" s="1"/>
  <c r="A339" i="47" s="1"/>
  <c r="A340" i="47" s="1"/>
  <c r="A341" i="47" s="1"/>
  <c r="A342" i="47" s="1"/>
  <c r="A343" i="47" s="1"/>
  <c r="A344" i="47" s="1"/>
  <c r="A345" i="47" s="1"/>
  <c r="A346" i="47" s="1"/>
  <c r="A347" i="47" s="1"/>
  <c r="A348" i="47" s="1"/>
  <c r="A349" i="47" s="1"/>
  <c r="A350" i="47" s="1"/>
  <c r="A351" i="47" s="1"/>
  <c r="A352" i="47" s="1"/>
  <c r="A353" i="47" s="1"/>
  <c r="A354" i="47" s="1"/>
  <c r="A355" i="47" s="1"/>
  <c r="A356" i="47" s="1"/>
  <c r="A357" i="47" s="1"/>
  <c r="A358" i="47" s="1"/>
  <c r="A359" i="47" s="1"/>
  <c r="A360" i="47" s="1"/>
  <c r="A293" i="47"/>
  <c r="A294" i="47" s="1"/>
  <c r="F124" i="47"/>
  <c r="E123" i="47"/>
  <c r="F123" i="47" s="1"/>
  <c r="A97" i="47"/>
  <c r="A98" i="47" s="1"/>
  <c r="A99" i="47" s="1"/>
  <c r="A100" i="47" s="1"/>
  <c r="A55" i="47"/>
  <c r="A56" i="47" s="1"/>
  <c r="A57" i="47" s="1"/>
  <c r="A58" i="47" s="1"/>
  <c r="A59" i="47" s="1"/>
  <c r="A60" i="47" s="1"/>
  <c r="A61" i="47" s="1"/>
  <c r="A62" i="47" s="1"/>
  <c r="A63" i="47" s="1"/>
  <c r="A64" i="47" s="1"/>
  <c r="A65" i="47" s="1"/>
  <c r="A66" i="47" s="1"/>
  <c r="A67" i="47" s="1"/>
  <c r="A68" i="47" s="1"/>
  <c r="A69" i="47" s="1"/>
  <c r="A70" i="47" s="1"/>
  <c r="A71" i="47" s="1"/>
  <c r="A72" i="47" s="1"/>
  <c r="A73" i="47" s="1"/>
  <c r="A74" i="47" s="1"/>
  <c r="A75" i="47" s="1"/>
  <c r="A76" i="47" s="1"/>
  <c r="A77" i="47" s="1"/>
  <c r="A78" i="47" s="1"/>
  <c r="A79" i="47" s="1"/>
  <c r="A80" i="47" s="1"/>
  <c r="A81" i="47" s="1"/>
  <c r="A82" i="47" s="1"/>
  <c r="A83" i="47" s="1"/>
  <c r="A84" i="47" s="1"/>
  <c r="A85" i="47" s="1"/>
  <c r="A9" i="47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F537" i="50"/>
  <c r="F536" i="50"/>
  <c r="F535" i="50"/>
  <c r="F534" i="50"/>
  <c r="F533" i="50"/>
  <c r="F532" i="50"/>
  <c r="F531" i="50"/>
  <c r="F530" i="50"/>
  <c r="F529" i="50"/>
  <c r="F528" i="50"/>
  <c r="F527" i="50"/>
  <c r="F526" i="50"/>
  <c r="F525" i="50"/>
  <c r="F524" i="50"/>
  <c r="F523" i="50"/>
  <c r="F522" i="50"/>
  <c r="F521" i="50"/>
  <c r="F520" i="50"/>
  <c r="F519" i="50"/>
  <c r="F518" i="50"/>
  <c r="F517" i="50"/>
  <c r="F516" i="50"/>
  <c r="F515" i="50"/>
  <c r="F514" i="50"/>
  <c r="F513" i="50"/>
  <c r="F512" i="50"/>
  <c r="F511" i="50"/>
  <c r="F510" i="50"/>
  <c r="F509" i="50"/>
  <c r="F508" i="50"/>
  <c r="F507" i="50"/>
  <c r="E452" i="50"/>
  <c r="F452" i="50" s="1"/>
  <c r="E450" i="50"/>
  <c r="F450" i="50" s="1"/>
  <c r="E449" i="50"/>
  <c r="F449" i="50" s="1"/>
  <c r="E447" i="50"/>
  <c r="F447" i="50" s="1"/>
  <c r="E445" i="50"/>
  <c r="F445" i="50" s="1"/>
  <c r="E444" i="50"/>
  <c r="F444" i="50" s="1"/>
  <c r="E443" i="50"/>
  <c r="F443" i="50" s="1"/>
  <c r="E441" i="50"/>
  <c r="F441" i="50" s="1"/>
  <c r="E439" i="50"/>
  <c r="F439" i="50" s="1"/>
  <c r="E438" i="50"/>
  <c r="F438" i="50" s="1"/>
  <c r="E437" i="50"/>
  <c r="F437" i="50" s="1"/>
  <c r="E435" i="50"/>
  <c r="F435" i="50" s="1"/>
  <c r="F434" i="50"/>
  <c r="E433" i="50"/>
  <c r="F433" i="50" s="1"/>
  <c r="E431" i="50"/>
  <c r="F431" i="50" s="1"/>
  <c r="F430" i="50"/>
  <c r="E429" i="50"/>
  <c r="F429" i="50" s="1"/>
  <c r="E427" i="50"/>
  <c r="F427" i="50" s="1"/>
  <c r="E426" i="50"/>
  <c r="F426" i="50" s="1"/>
  <c r="E424" i="50"/>
  <c r="F424" i="50" s="1"/>
  <c r="E423" i="50"/>
  <c r="F423" i="50" s="1"/>
  <c r="E422" i="50"/>
  <c r="F422" i="50" s="1"/>
  <c r="E420" i="50"/>
  <c r="F420" i="50" s="1"/>
  <c r="E419" i="50"/>
  <c r="F419" i="50" s="1"/>
  <c r="E417" i="50"/>
  <c r="F417" i="50" s="1"/>
  <c r="E416" i="50"/>
  <c r="F416" i="50" s="1"/>
  <c r="E415" i="50"/>
  <c r="F415" i="50" s="1"/>
  <c r="E402" i="50"/>
  <c r="F402" i="50" s="1"/>
  <c r="E400" i="50"/>
  <c r="F400" i="50" s="1"/>
  <c r="E399" i="50"/>
  <c r="F399" i="50" s="1"/>
  <c r="E397" i="50"/>
  <c r="F397" i="50" s="1"/>
  <c r="E395" i="50"/>
  <c r="F395" i="50" s="1"/>
  <c r="E394" i="50"/>
  <c r="F394" i="50" s="1"/>
  <c r="E393" i="50"/>
  <c r="F393" i="50" s="1"/>
  <c r="E391" i="50"/>
  <c r="F391" i="50" s="1"/>
  <c r="E389" i="50"/>
  <c r="F389" i="50" s="1"/>
  <c r="E388" i="50"/>
  <c r="F388" i="50" s="1"/>
  <c r="E387" i="50"/>
  <c r="F387" i="50" s="1"/>
  <c r="E385" i="50"/>
  <c r="F385" i="50" s="1"/>
  <c r="F384" i="50"/>
  <c r="E383" i="50"/>
  <c r="F383" i="50" s="1"/>
  <c r="E381" i="50"/>
  <c r="F381" i="50" s="1"/>
  <c r="E380" i="50"/>
  <c r="F380" i="50" s="1"/>
  <c r="E379" i="50"/>
  <c r="F379" i="50" s="1"/>
  <c r="E377" i="50"/>
  <c r="F377" i="50" s="1"/>
  <c r="E376" i="50"/>
  <c r="F376" i="50" s="1"/>
  <c r="E374" i="50"/>
  <c r="F374" i="50" s="1"/>
  <c r="E373" i="50"/>
  <c r="F373" i="50" s="1"/>
  <c r="E372" i="50"/>
  <c r="F372" i="50" s="1"/>
  <c r="E370" i="50"/>
  <c r="F370" i="50" s="1"/>
  <c r="E369" i="50"/>
  <c r="F369" i="50" s="1"/>
  <c r="F367" i="50"/>
  <c r="E366" i="50"/>
  <c r="F366" i="50" s="1"/>
  <c r="E365" i="50"/>
  <c r="F365" i="50" s="1"/>
  <c r="F343" i="50"/>
  <c r="F342" i="50"/>
  <c r="F341" i="50"/>
  <c r="F340" i="50"/>
  <c r="F339" i="50"/>
  <c r="F338" i="50"/>
  <c r="F337" i="50"/>
  <c r="D336" i="50"/>
  <c r="F336" i="50" s="1"/>
  <c r="D334" i="50"/>
  <c r="F334" i="50" s="1"/>
  <c r="F333" i="50"/>
  <c r="F332" i="50"/>
  <c r="F331" i="50"/>
  <c r="F329" i="50"/>
  <c r="F328" i="50"/>
  <c r="F327" i="50"/>
  <c r="F326" i="50"/>
  <c r="F325" i="50"/>
  <c r="F324" i="50"/>
  <c r="D323" i="50"/>
  <c r="F323" i="50" s="1"/>
  <c r="F322" i="50"/>
  <c r="E320" i="50"/>
  <c r="D319" i="50"/>
  <c r="F319" i="50" s="1"/>
  <c r="D318" i="50"/>
  <c r="F318" i="50" s="1"/>
  <c r="F316" i="50"/>
  <c r="F315" i="50"/>
  <c r="F314" i="50"/>
  <c r="F313" i="50"/>
  <c r="F312" i="50"/>
  <c r="F311" i="50"/>
  <c r="F310" i="50"/>
  <c r="F560" i="48"/>
  <c r="F559" i="48"/>
  <c r="F558" i="48"/>
  <c r="F557" i="48"/>
  <c r="F556" i="48"/>
  <c r="F555" i="48"/>
  <c r="F554" i="48"/>
  <c r="F553" i="48"/>
  <c r="F552" i="48"/>
  <c r="F551" i="48"/>
  <c r="F550" i="48"/>
  <c r="F549" i="48"/>
  <c r="F548" i="48"/>
  <c r="F547" i="48"/>
  <c r="F546" i="48"/>
  <c r="F545" i="48"/>
  <c r="F544" i="48"/>
  <c r="F543" i="48"/>
  <c r="F542" i="48"/>
  <c r="F541" i="48"/>
  <c r="F540" i="48"/>
  <c r="F539" i="48"/>
  <c r="F538" i="48"/>
  <c r="F537" i="48"/>
  <c r="F536" i="48"/>
  <c r="F535" i="48"/>
  <c r="F534" i="48"/>
  <c r="F533" i="48"/>
  <c r="F532" i="48"/>
  <c r="F472" i="48"/>
  <c r="F471" i="48"/>
  <c r="F470" i="48"/>
  <c r="F469" i="48"/>
  <c r="F468" i="48"/>
  <c r="F467" i="48"/>
  <c r="F466" i="48"/>
  <c r="F465" i="48"/>
  <c r="F464" i="48"/>
  <c r="F463" i="48"/>
  <c r="F462" i="48"/>
  <c r="F461" i="48"/>
  <c r="F460" i="48"/>
  <c r="F459" i="48"/>
  <c r="F458" i="48"/>
  <c r="F457" i="48"/>
  <c r="F456" i="48"/>
  <c r="F455" i="48"/>
  <c r="F454" i="48"/>
  <c r="D453" i="48"/>
  <c r="F453" i="48" s="1"/>
  <c r="F452" i="48"/>
  <c r="F451" i="48"/>
  <c r="F450" i="48"/>
  <c r="F449" i="48"/>
  <c r="D437" i="48"/>
  <c r="F437" i="48" s="1"/>
  <c r="F436" i="48"/>
  <c r="F435" i="48"/>
  <c r="F434" i="48"/>
  <c r="F433" i="48"/>
  <c r="F432" i="48"/>
  <c r="F431" i="48"/>
  <c r="F430" i="48"/>
  <c r="F429" i="48"/>
  <c r="F428" i="48"/>
  <c r="F427" i="48"/>
  <c r="F426" i="48"/>
  <c r="F425" i="48"/>
  <c r="F424" i="48"/>
  <c r="F423" i="48"/>
  <c r="F422" i="48"/>
  <c r="F421" i="48"/>
  <c r="F420" i="48"/>
  <c r="F419" i="48"/>
  <c r="F418" i="48"/>
  <c r="F417" i="48"/>
  <c r="F416" i="48"/>
  <c r="F415" i="48"/>
  <c r="F414" i="48"/>
  <c r="F413" i="48"/>
  <c r="F412" i="48"/>
  <c r="F411" i="48"/>
  <c r="F410" i="48"/>
  <c r="F397" i="48"/>
  <c r="F396" i="48"/>
  <c r="F395" i="48"/>
  <c r="F394" i="48"/>
  <c r="F393" i="48"/>
  <c r="F392" i="48"/>
  <c r="F391" i="48"/>
  <c r="F390" i="48"/>
  <c r="F389" i="48"/>
  <c r="F388" i="48"/>
  <c r="F387" i="48"/>
  <c r="F386" i="48"/>
  <c r="F385" i="48"/>
  <c r="E384" i="48"/>
  <c r="F384" i="48" s="1"/>
  <c r="F383" i="48"/>
  <c r="F382" i="48"/>
  <c r="F381" i="48"/>
  <c r="F380" i="48"/>
  <c r="F379" i="48"/>
  <c r="D378" i="48"/>
  <c r="F378" i="48" s="1"/>
  <c r="F377" i="48"/>
  <c r="F376" i="48"/>
  <c r="F375" i="48"/>
  <c r="F363" i="48"/>
  <c r="F362" i="48"/>
  <c r="F361" i="48"/>
  <c r="F360" i="48"/>
  <c r="F359" i="48"/>
  <c r="F358" i="48"/>
  <c r="F357" i="48"/>
  <c r="F356" i="48"/>
  <c r="F355" i="48"/>
  <c r="F354" i="48"/>
  <c r="E353" i="48"/>
  <c r="F353" i="48" s="1"/>
  <c r="F352" i="48"/>
  <c r="F351" i="48"/>
  <c r="F350" i="48"/>
  <c r="F349" i="48"/>
  <c r="F348" i="48"/>
  <c r="F347" i="48"/>
  <c r="F346" i="48"/>
  <c r="F345" i="48"/>
  <c r="F344" i="48"/>
  <c r="F343" i="48"/>
  <c r="F342" i="48"/>
  <c r="F341" i="48"/>
  <c r="F340" i="48"/>
  <c r="F339" i="48"/>
  <c r="F338" i="48"/>
  <c r="F337" i="48"/>
  <c r="F336" i="48"/>
  <c r="F324" i="48"/>
  <c r="F323" i="48"/>
  <c r="F322" i="48"/>
  <c r="F321" i="48"/>
  <c r="F320" i="48"/>
  <c r="F319" i="48"/>
  <c r="F318" i="48"/>
  <c r="F317" i="48"/>
  <c r="F316" i="48"/>
  <c r="F315" i="48"/>
  <c r="F314" i="48"/>
  <c r="F313" i="48"/>
  <c r="F312" i="48"/>
  <c r="F311" i="48"/>
  <c r="F310" i="48"/>
  <c r="F309" i="48"/>
  <c r="F308" i="48"/>
  <c r="F307" i="48"/>
  <c r="F306" i="48"/>
  <c r="D305" i="48"/>
  <c r="F305" i="48" s="1"/>
  <c r="F304" i="48"/>
  <c r="F303" i="48"/>
  <c r="F302" i="48"/>
  <c r="F301" i="48"/>
  <c r="F289" i="48"/>
  <c r="F288" i="48"/>
  <c r="F287" i="48"/>
  <c r="F286" i="48"/>
  <c r="F285" i="48"/>
  <c r="F284" i="48"/>
  <c r="F283" i="48"/>
  <c r="F282" i="48"/>
  <c r="F281" i="48"/>
  <c r="F280" i="48"/>
  <c r="F279" i="48"/>
  <c r="F278" i="48"/>
  <c r="F277" i="48"/>
  <c r="F276" i="48"/>
  <c r="F275" i="48"/>
  <c r="F274" i="48"/>
  <c r="F273" i="48"/>
  <c r="F272" i="48"/>
  <c r="F271" i="48"/>
  <c r="F270" i="48"/>
  <c r="F269" i="48"/>
  <c r="F268" i="48"/>
  <c r="F267" i="48"/>
  <c r="F266" i="48"/>
  <c r="F265" i="48"/>
  <c r="F264" i="48"/>
  <c r="F263" i="48"/>
  <c r="F262" i="48"/>
  <c r="F261" i="48"/>
  <c r="F735" i="46"/>
  <c r="F736" i="46"/>
  <c r="E735" i="46"/>
  <c r="A714" i="46"/>
  <c r="A715" i="46" s="1"/>
  <c r="A716" i="46" s="1"/>
  <c r="A717" i="46" s="1"/>
  <c r="A718" i="46" s="1"/>
  <c r="A719" i="46" s="1"/>
  <c r="A720" i="46" s="1"/>
  <c r="A721" i="46" s="1"/>
  <c r="A722" i="46" s="1"/>
  <c r="A723" i="46" s="1"/>
  <c r="A724" i="46" s="1"/>
  <c r="A725" i="46" s="1"/>
  <c r="A726" i="46" s="1"/>
  <c r="A727" i="46" s="1"/>
  <c r="A728" i="46" s="1"/>
  <c r="A729" i="46" s="1"/>
  <c r="A730" i="46" s="1"/>
  <c r="A731" i="46" s="1"/>
  <c r="A732" i="46" s="1"/>
  <c r="A733" i="46" s="1"/>
  <c r="A734" i="46" s="1"/>
  <c r="A735" i="46" s="1"/>
  <c r="A736" i="46" s="1"/>
  <c r="A680" i="46"/>
  <c r="A681" i="46" s="1"/>
  <c r="A682" i="46" s="1"/>
  <c r="A683" i="46" s="1"/>
  <c r="A684" i="46" s="1"/>
  <c r="A685" i="46" s="1"/>
  <c r="A686" i="46" s="1"/>
  <c r="A687" i="46" s="1"/>
  <c r="A688" i="46" s="1"/>
  <c r="A689" i="46" s="1"/>
  <c r="A690" i="46" s="1"/>
  <c r="A691" i="46" s="1"/>
  <c r="A692" i="46" s="1"/>
  <c r="A693" i="46" s="1"/>
  <c r="A694" i="46" s="1"/>
  <c r="A695" i="46" s="1"/>
  <c r="A696" i="46" s="1"/>
  <c r="A697" i="46" s="1"/>
  <c r="A698" i="46" s="1"/>
  <c r="A699" i="46" s="1"/>
  <c r="A700" i="46" s="1"/>
  <c r="A701" i="46" s="1"/>
  <c r="A702" i="46" s="1"/>
  <c r="A644" i="46"/>
  <c r="A645" i="46" s="1"/>
  <c r="A646" i="46" s="1"/>
  <c r="A647" i="46" s="1"/>
  <c r="A648" i="46" s="1"/>
  <c r="A649" i="46" s="1"/>
  <c r="A650" i="46" s="1"/>
  <c r="A651" i="46" s="1"/>
  <c r="A652" i="46" s="1"/>
  <c r="A653" i="46" s="1"/>
  <c r="A654" i="46" s="1"/>
  <c r="A655" i="46" s="1"/>
  <c r="A656" i="46" s="1"/>
  <c r="A657" i="46" s="1"/>
  <c r="A658" i="46" s="1"/>
  <c r="A659" i="46" s="1"/>
  <c r="A660" i="46" s="1"/>
  <c r="A661" i="46" s="1"/>
  <c r="A662" i="46" s="1"/>
  <c r="A663" i="46" s="1"/>
  <c r="A664" i="46" s="1"/>
  <c r="A665" i="46" s="1"/>
  <c r="A666" i="46" s="1"/>
  <c r="A667" i="46" s="1"/>
  <c r="A668" i="46" s="1"/>
  <c r="A608" i="46"/>
  <c r="A609" i="46" s="1"/>
  <c r="A610" i="46" s="1"/>
  <c r="A611" i="46" s="1"/>
  <c r="A612" i="46" s="1"/>
  <c r="A613" i="46" s="1"/>
  <c r="A614" i="46" s="1"/>
  <c r="A615" i="46" s="1"/>
  <c r="A616" i="46" s="1"/>
  <c r="A617" i="46" s="1"/>
  <c r="A618" i="46" s="1"/>
  <c r="A619" i="46" s="1"/>
  <c r="A620" i="46" s="1"/>
  <c r="A621" i="46" s="1"/>
  <c r="A622" i="46" s="1"/>
  <c r="A623" i="46" s="1"/>
  <c r="A624" i="46" s="1"/>
  <c r="A625" i="46" s="1"/>
  <c r="A626" i="46" s="1"/>
  <c r="A627" i="46" s="1"/>
  <c r="A628" i="46" s="1"/>
  <c r="A629" i="46" s="1"/>
  <c r="A630" i="46" s="1"/>
  <c r="A631" i="46" s="1"/>
  <c r="A632" i="46" s="1"/>
  <c r="A572" i="46"/>
  <c r="A573" i="46" s="1"/>
  <c r="A574" i="46" s="1"/>
  <c r="A575" i="46" s="1"/>
  <c r="A576" i="46" s="1"/>
  <c r="A577" i="46" s="1"/>
  <c r="A578" i="46" s="1"/>
  <c r="A579" i="46" s="1"/>
  <c r="A580" i="46" s="1"/>
  <c r="A581" i="46" s="1"/>
  <c r="A582" i="46" s="1"/>
  <c r="A583" i="46" s="1"/>
  <c r="A584" i="46" s="1"/>
  <c r="A585" i="46" s="1"/>
  <c r="A586" i="46" s="1"/>
  <c r="A587" i="46" s="1"/>
  <c r="A588" i="46" s="1"/>
  <c r="A589" i="46" s="1"/>
  <c r="A590" i="46" s="1"/>
  <c r="A591" i="46" s="1"/>
  <c r="A592" i="46" s="1"/>
  <c r="A593" i="46" s="1"/>
  <c r="A594" i="46" s="1"/>
  <c r="A595" i="46" s="1"/>
  <c r="A596" i="46" s="1"/>
  <c r="A538" i="46"/>
  <c r="A539" i="46" s="1"/>
  <c r="A540" i="46" s="1"/>
  <c r="A541" i="46" s="1"/>
  <c r="A542" i="46" s="1"/>
  <c r="A543" i="46" s="1"/>
  <c r="A544" i="46" s="1"/>
  <c r="A545" i="46" s="1"/>
  <c r="A546" i="46" s="1"/>
  <c r="A547" i="46" s="1"/>
  <c r="A548" i="46" s="1"/>
  <c r="A549" i="46" s="1"/>
  <c r="A550" i="46" s="1"/>
  <c r="A551" i="46" s="1"/>
  <c r="A552" i="46" s="1"/>
  <c r="A553" i="46" s="1"/>
  <c r="A554" i="46" s="1"/>
  <c r="A555" i="46" s="1"/>
  <c r="A556" i="46" s="1"/>
  <c r="A557" i="46" s="1"/>
  <c r="A558" i="46" s="1"/>
  <c r="A559" i="46" s="1"/>
  <c r="A560" i="46" s="1"/>
  <c r="A498" i="46"/>
  <c r="A499" i="46" s="1"/>
  <c r="A500" i="46" s="1"/>
  <c r="A501" i="46" s="1"/>
  <c r="A502" i="46" s="1"/>
  <c r="A503" i="46" s="1"/>
  <c r="A504" i="46" s="1"/>
  <c r="A505" i="46" s="1"/>
  <c r="A506" i="46" s="1"/>
  <c r="A507" i="46" s="1"/>
  <c r="A508" i="46" s="1"/>
  <c r="A509" i="46" s="1"/>
  <c r="A510" i="46" s="1"/>
  <c r="A511" i="46" s="1"/>
  <c r="A512" i="46" s="1"/>
  <c r="A513" i="46" s="1"/>
  <c r="A514" i="46" s="1"/>
  <c r="A515" i="46" s="1"/>
  <c r="A516" i="46" s="1"/>
  <c r="A517" i="46" s="1"/>
  <c r="A518" i="46" s="1"/>
  <c r="A519" i="46" s="1"/>
  <c r="A520" i="46" s="1"/>
  <c r="A521" i="46" s="1"/>
  <c r="A522" i="46" s="1"/>
  <c r="A523" i="46" s="1"/>
  <c r="A524" i="46" s="1"/>
  <c r="A525" i="46" s="1"/>
  <c r="A526" i="46" s="1"/>
  <c r="A462" i="46"/>
  <c r="A463" i="46" s="1"/>
  <c r="A464" i="46" s="1"/>
  <c r="A465" i="46" s="1"/>
  <c r="A466" i="46" s="1"/>
  <c r="A467" i="46" s="1"/>
  <c r="A468" i="46" s="1"/>
  <c r="A469" i="46" s="1"/>
  <c r="A470" i="46" s="1"/>
  <c r="A471" i="46" s="1"/>
  <c r="A472" i="46" s="1"/>
  <c r="A473" i="46" s="1"/>
  <c r="A474" i="46" s="1"/>
  <c r="A475" i="46" s="1"/>
  <c r="A476" i="46" s="1"/>
  <c r="A477" i="46" s="1"/>
  <c r="A478" i="46" s="1"/>
  <c r="A479" i="46" s="1"/>
  <c r="A480" i="46" s="1"/>
  <c r="A481" i="46" s="1"/>
  <c r="A482" i="46" s="1"/>
  <c r="A483" i="46" s="1"/>
  <c r="A484" i="46" s="1"/>
  <c r="A485" i="46" s="1"/>
  <c r="A486" i="46" s="1"/>
  <c r="F563" i="48" l="1"/>
  <c r="F364" i="48"/>
  <c r="F453" i="50"/>
  <c r="F438" i="48"/>
  <c r="F398" i="48"/>
  <c r="F399" i="48" s="1"/>
  <c r="A415" i="47"/>
  <c r="A416" i="47" s="1"/>
  <c r="A417" i="47" s="1"/>
  <c r="A418" i="47" s="1"/>
  <c r="A419" i="47" s="1"/>
  <c r="A420" i="47" s="1"/>
  <c r="A421" i="47" s="1"/>
  <c r="A422" i="47" s="1"/>
  <c r="A423" i="47" s="1"/>
  <c r="A424" i="47" s="1"/>
  <c r="A425" i="47" s="1"/>
  <c r="A426" i="47" s="1"/>
  <c r="A427" i="47" s="1"/>
  <c r="A428" i="47" s="1"/>
  <c r="A429" i="47" s="1"/>
  <c r="A430" i="47" s="1"/>
  <c r="A431" i="47" s="1"/>
  <c r="A432" i="47" s="1"/>
  <c r="A433" i="47" s="1"/>
  <c r="A434" i="47" s="1"/>
  <c r="A435" i="47" s="1"/>
  <c r="A436" i="47" s="1"/>
  <c r="A437" i="47" s="1"/>
  <c r="A386" i="47"/>
  <c r="A387" i="47" s="1"/>
  <c r="A388" i="47" s="1"/>
  <c r="A389" i="47" s="1"/>
  <c r="A390" i="47" s="1"/>
  <c r="A391" i="47" s="1"/>
  <c r="A392" i="47" s="1"/>
  <c r="A393" i="47" s="1"/>
  <c r="A394" i="47" s="1"/>
  <c r="A395" i="47" s="1"/>
  <c r="A396" i="47" s="1"/>
  <c r="A397" i="47" s="1"/>
  <c r="A398" i="47" s="1"/>
  <c r="A399" i="47" s="1"/>
  <c r="A400" i="47" s="1"/>
  <c r="A401" i="47" s="1"/>
  <c r="A295" i="47"/>
  <c r="A296" i="47" s="1"/>
  <c r="A297" i="47" s="1"/>
  <c r="A298" i="47" s="1"/>
  <c r="A299" i="47" s="1"/>
  <c r="A300" i="47" s="1"/>
  <c r="A301" i="47" s="1"/>
  <c r="A302" i="47" s="1"/>
  <c r="A303" i="47" s="1"/>
  <c r="A304" i="47" s="1"/>
  <c r="A305" i="47" s="1"/>
  <c r="A306" i="47" s="1"/>
  <c r="A307" i="47" s="1"/>
  <c r="A308" i="47" s="1"/>
  <c r="A309" i="47" s="1"/>
  <c r="A310" i="47" s="1"/>
  <c r="A311" i="47" s="1"/>
  <c r="A312" i="47" s="1"/>
  <c r="A313" i="47" s="1"/>
  <c r="A314" i="47" s="1"/>
  <c r="A315" i="47" s="1"/>
  <c r="A316" i="47" s="1"/>
  <c r="A317" i="47" s="1"/>
  <c r="A318" i="47" s="1"/>
  <c r="A319" i="47" s="1"/>
  <c r="A320" i="47" s="1"/>
  <c r="A321" i="47" s="1"/>
  <c r="A322" i="47" s="1"/>
  <c r="F498" i="50"/>
  <c r="F538" i="50"/>
  <c r="F403" i="50"/>
  <c r="F473" i="48"/>
  <c r="F474" i="48" s="1"/>
  <c r="F475" i="48" s="1"/>
  <c r="F290" i="48"/>
  <c r="F325" i="48"/>
  <c r="A101" i="47"/>
  <c r="A102" i="47" s="1"/>
  <c r="A103" i="47" s="1"/>
  <c r="A104" i="47" s="1"/>
  <c r="A105" i="47" s="1"/>
  <c r="A106" i="47" s="1"/>
  <c r="A107" i="47" s="1"/>
  <c r="A108" i="47" s="1"/>
  <c r="A109" i="47" s="1"/>
  <c r="A110" i="47" s="1"/>
  <c r="A111" i="47" s="1"/>
  <c r="A112" i="47" s="1"/>
  <c r="A113" i="47" s="1"/>
  <c r="A114" i="47" s="1"/>
  <c r="A115" i="47" s="1"/>
  <c r="A116" i="47" s="1"/>
  <c r="A117" i="47" s="1"/>
  <c r="A118" i="47" s="1"/>
  <c r="A119" i="47" s="1"/>
  <c r="A120" i="47" s="1"/>
  <c r="A121" i="47" s="1"/>
  <c r="A122" i="47" s="1"/>
  <c r="A123" i="47" s="1"/>
  <c r="A124" i="47" s="1"/>
  <c r="D320" i="50"/>
  <c r="F320" i="50" s="1"/>
  <c r="A428" i="46"/>
  <c r="A429" i="46" s="1"/>
  <c r="A430" i="46" s="1"/>
  <c r="A431" i="46" s="1"/>
  <c r="A432" i="46" s="1"/>
  <c r="A433" i="46" s="1"/>
  <c r="A434" i="46" s="1"/>
  <c r="A435" i="46" s="1"/>
  <c r="A436" i="46" s="1"/>
  <c r="A437" i="46" s="1"/>
  <c r="A438" i="46" s="1"/>
  <c r="A439" i="46" s="1"/>
  <c r="A440" i="46" s="1"/>
  <c r="A441" i="46" s="1"/>
  <c r="A442" i="46" s="1"/>
  <c r="A443" i="46" s="1"/>
  <c r="A444" i="46" s="1"/>
  <c r="A445" i="46" s="1"/>
  <c r="A446" i="46" s="1"/>
  <c r="A447" i="46" s="1"/>
  <c r="A448" i="46" s="1"/>
  <c r="A449" i="46" s="1"/>
  <c r="A450" i="46" s="1"/>
  <c r="A386" i="46"/>
  <c r="A387" i="46" s="1"/>
  <c r="A388" i="46" s="1"/>
  <c r="A389" i="46" s="1"/>
  <c r="A390" i="46" s="1"/>
  <c r="A391" i="46" s="1"/>
  <c r="A392" i="46" s="1"/>
  <c r="A393" i="46" s="1"/>
  <c r="A394" i="46" s="1"/>
  <c r="A395" i="46" s="1"/>
  <c r="A396" i="46" s="1"/>
  <c r="A397" i="46" s="1"/>
  <c r="A398" i="46" s="1"/>
  <c r="A399" i="46" s="1"/>
  <c r="A400" i="46" s="1"/>
  <c r="A401" i="46" s="1"/>
  <c r="A402" i="46" s="1"/>
  <c r="A403" i="46" s="1"/>
  <c r="A404" i="46" s="1"/>
  <c r="A405" i="46" s="1"/>
  <c r="A406" i="46" s="1"/>
  <c r="A407" i="46" s="1"/>
  <c r="A408" i="46" s="1"/>
  <c r="A409" i="46" s="1"/>
  <c r="A410" i="46" s="1"/>
  <c r="A411" i="46" s="1"/>
  <c r="A412" i="46" s="1"/>
  <c r="A413" i="46" s="1"/>
  <c r="A414" i="46" s="1"/>
  <c r="A415" i="46" s="1"/>
  <c r="A416" i="46" s="1"/>
  <c r="A345" i="46"/>
  <c r="A346" i="46" s="1"/>
  <c r="A347" i="46" s="1"/>
  <c r="A348" i="46" s="1"/>
  <c r="A349" i="46" s="1"/>
  <c r="A350" i="46" s="1"/>
  <c r="A351" i="46" s="1"/>
  <c r="A352" i="46" s="1"/>
  <c r="A353" i="46" s="1"/>
  <c r="A354" i="46" s="1"/>
  <c r="A355" i="46" s="1"/>
  <c r="A356" i="46" s="1"/>
  <c r="A357" i="46" s="1"/>
  <c r="A358" i="46" s="1"/>
  <c r="A359" i="46" s="1"/>
  <c r="A360" i="46" s="1"/>
  <c r="A361" i="46" s="1"/>
  <c r="A362" i="46" s="1"/>
  <c r="A363" i="46" s="1"/>
  <c r="A364" i="46" s="1"/>
  <c r="A365" i="46" s="1"/>
  <c r="A366" i="46" s="1"/>
  <c r="A367" i="46" s="1"/>
  <c r="A368" i="46" s="1"/>
  <c r="A369" i="46" s="1"/>
  <c r="A370" i="46" s="1"/>
  <c r="A371" i="46" s="1"/>
  <c r="A372" i="46" s="1"/>
  <c r="A373" i="46" s="1"/>
  <c r="A374" i="46" s="1"/>
  <c r="A303" i="46"/>
  <c r="A304" i="46" s="1"/>
  <c r="A305" i="46" s="1"/>
  <c r="A306" i="46" s="1"/>
  <c r="A307" i="46" s="1"/>
  <c r="A308" i="46" s="1"/>
  <c r="A309" i="46" s="1"/>
  <c r="A255" i="46"/>
  <c r="A256" i="46" s="1"/>
  <c r="A257" i="46" s="1"/>
  <c r="A258" i="46" s="1"/>
  <c r="A259" i="46" s="1"/>
  <c r="A260" i="46" s="1"/>
  <c r="A261" i="46" s="1"/>
  <c r="A262" i="46" s="1"/>
  <c r="A263" i="46" s="1"/>
  <c r="A264" i="46" s="1"/>
  <c r="A265" i="46" s="1"/>
  <c r="A266" i="46" s="1"/>
  <c r="A267" i="46" s="1"/>
  <c r="A268" i="46" s="1"/>
  <c r="A269" i="46" s="1"/>
  <c r="A270" i="46" s="1"/>
  <c r="A271" i="46" s="1"/>
  <c r="A272" i="46" s="1"/>
  <c r="A273" i="46" s="1"/>
  <c r="A274" i="46" s="1"/>
  <c r="A275" i="46" s="1"/>
  <c r="A276" i="46" s="1"/>
  <c r="A277" i="46" s="1"/>
  <c r="A278" i="46" s="1"/>
  <c r="A279" i="46" s="1"/>
  <c r="A280" i="46" s="1"/>
  <c r="A281" i="46" s="1"/>
  <c r="A282" i="46" s="1"/>
  <c r="A283" i="46" s="1"/>
  <c r="A284" i="46" s="1"/>
  <c r="A285" i="46" s="1"/>
  <c r="A286" i="46" s="1"/>
  <c r="A287" i="46" s="1"/>
  <c r="A288" i="46" s="1"/>
  <c r="A289" i="46" s="1"/>
  <c r="A290" i="46" s="1"/>
  <c r="A291" i="46" s="1"/>
  <c r="A213" i="46"/>
  <c r="A214" i="46" s="1"/>
  <c r="A215" i="46" s="1"/>
  <c r="A216" i="46" s="1"/>
  <c r="A217" i="46" s="1"/>
  <c r="A218" i="46" s="1"/>
  <c r="A219" i="46" s="1"/>
  <c r="A220" i="46" s="1"/>
  <c r="A221" i="46" s="1"/>
  <c r="A222" i="46" s="1"/>
  <c r="A223" i="46" s="1"/>
  <c r="A224" i="46" s="1"/>
  <c r="A225" i="46" s="1"/>
  <c r="A226" i="46" s="1"/>
  <c r="A227" i="46" s="1"/>
  <c r="A228" i="46" s="1"/>
  <c r="A229" i="46" s="1"/>
  <c r="A230" i="46" s="1"/>
  <c r="A231" i="46" s="1"/>
  <c r="A232" i="46" s="1"/>
  <c r="A233" i="46" s="1"/>
  <c r="A234" i="46" s="1"/>
  <c r="A235" i="46" s="1"/>
  <c r="A236" i="46" s="1"/>
  <c r="A237" i="46" s="1"/>
  <c r="A238" i="46" s="1"/>
  <c r="A239" i="46" s="1"/>
  <c r="A240" i="46" s="1"/>
  <c r="A241" i="46" s="1"/>
  <c r="A242" i="46" s="1"/>
  <c r="A171" i="46"/>
  <c r="A172" i="46" s="1"/>
  <c r="A173" i="46" s="1"/>
  <c r="A174" i="46" s="1"/>
  <c r="A175" i="46" s="1"/>
  <c r="A176" i="46" s="1"/>
  <c r="A177" i="46" s="1"/>
  <c r="A178" i="46" s="1"/>
  <c r="A179" i="46" s="1"/>
  <c r="A180" i="46" s="1"/>
  <c r="A181" i="46" s="1"/>
  <c r="A182" i="46" s="1"/>
  <c r="A183" i="46" s="1"/>
  <c r="A184" i="46" s="1"/>
  <c r="A185" i="46" s="1"/>
  <c r="A186" i="46" s="1"/>
  <c r="A187" i="46" s="1"/>
  <c r="A188" i="46" s="1"/>
  <c r="A189" i="46" s="1"/>
  <c r="A190" i="46" s="1"/>
  <c r="A191" i="46" s="1"/>
  <c r="A192" i="46" s="1"/>
  <c r="A193" i="46" s="1"/>
  <c r="A194" i="46" s="1"/>
  <c r="A195" i="46" s="1"/>
  <c r="A196" i="46" s="1"/>
  <c r="A197" i="46" s="1"/>
  <c r="A198" i="46" s="1"/>
  <c r="A199" i="46" s="1"/>
  <c r="A200" i="46" s="1"/>
  <c r="A201" i="46" s="1"/>
  <c r="A130" i="46"/>
  <c r="A131" i="46" s="1"/>
  <c r="A132" i="46" s="1"/>
  <c r="A133" i="46" s="1"/>
  <c r="A134" i="46" s="1"/>
  <c r="A135" i="46" s="1"/>
  <c r="A136" i="46" s="1"/>
  <c r="A137" i="46" s="1"/>
  <c r="A138" i="46" s="1"/>
  <c r="A139" i="46" s="1"/>
  <c r="A140" i="46" s="1"/>
  <c r="A141" i="46" s="1"/>
  <c r="A142" i="46" s="1"/>
  <c r="A143" i="46" s="1"/>
  <c r="A144" i="46" s="1"/>
  <c r="A145" i="46" s="1"/>
  <c r="A146" i="46" s="1"/>
  <c r="A147" i="46" s="1"/>
  <c r="A148" i="46" s="1"/>
  <c r="A149" i="46" s="1"/>
  <c r="A150" i="46" s="1"/>
  <c r="A151" i="46" s="1"/>
  <c r="A152" i="46" s="1"/>
  <c r="A153" i="46" s="1"/>
  <c r="A154" i="46" s="1"/>
  <c r="A155" i="46" s="1"/>
  <c r="A156" i="46" s="1"/>
  <c r="A157" i="46" s="1"/>
  <c r="A158" i="46" s="1"/>
  <c r="A159" i="46" s="1"/>
  <c r="A89" i="46"/>
  <c r="A90" i="46" s="1"/>
  <c r="A91" i="46" s="1"/>
  <c r="A92" i="46" s="1"/>
  <c r="A93" i="46" s="1"/>
  <c r="A94" i="46" s="1"/>
  <c r="A95" i="46" s="1"/>
  <c r="A96" i="46" s="1"/>
  <c r="A97" i="46" s="1"/>
  <c r="A98" i="46" s="1"/>
  <c r="A99" i="46" s="1"/>
  <c r="A100" i="46" s="1"/>
  <c r="A101" i="46" s="1"/>
  <c r="A102" i="46" s="1"/>
  <c r="A103" i="46" s="1"/>
  <c r="A104" i="46" s="1"/>
  <c r="A105" i="46" s="1"/>
  <c r="A106" i="46" s="1"/>
  <c r="A107" i="46" s="1"/>
  <c r="A108" i="46" s="1"/>
  <c r="A109" i="46" s="1"/>
  <c r="A110" i="46" s="1"/>
  <c r="A111" i="46" s="1"/>
  <c r="A112" i="46" s="1"/>
  <c r="A113" i="46" s="1"/>
  <c r="A114" i="46" s="1"/>
  <c r="A115" i="46" s="1"/>
  <c r="A116" i="46" s="1"/>
  <c r="A117" i="46" s="1"/>
  <c r="A118" i="46" s="1"/>
  <c r="A48" i="46"/>
  <c r="A49" i="46" s="1"/>
  <c r="A50" i="46" s="1"/>
  <c r="A51" i="46" s="1"/>
  <c r="A52" i="46" s="1"/>
  <c r="A53" i="46" s="1"/>
  <c r="A54" i="46" s="1"/>
  <c r="A55" i="46" s="1"/>
  <c r="A56" i="46" s="1"/>
  <c r="A57" i="46" s="1"/>
  <c r="A58" i="46" s="1"/>
  <c r="A59" i="46" s="1"/>
  <c r="A60" i="46" s="1"/>
  <c r="A61" i="46" s="1"/>
  <c r="A62" i="46" s="1"/>
  <c r="A63" i="46" s="1"/>
  <c r="A64" i="46" s="1"/>
  <c r="A65" i="46" s="1"/>
  <c r="A66" i="46" s="1"/>
  <c r="A67" i="46" s="1"/>
  <c r="A68" i="46" s="1"/>
  <c r="A69" i="46" s="1"/>
  <c r="A70" i="46" s="1"/>
  <c r="A71" i="46" s="1"/>
  <c r="A72" i="46" s="1"/>
  <c r="A73" i="46" s="1"/>
  <c r="A74" i="46" s="1"/>
  <c r="A75" i="46" s="1"/>
  <c r="A76" i="46" s="1"/>
  <c r="A77" i="46" s="1"/>
  <c r="A8" i="46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F456" i="47"/>
  <c r="F458" i="47"/>
  <c r="F459" i="47"/>
  <c r="F460" i="47"/>
  <c r="F461" i="47"/>
  <c r="F462" i="47"/>
  <c r="F464" i="47"/>
  <c r="F465" i="47"/>
  <c r="F466" i="47"/>
  <c r="F467" i="47"/>
  <c r="F469" i="47"/>
  <c r="F470" i="47"/>
  <c r="F471" i="47"/>
  <c r="F472" i="47"/>
  <c r="F473" i="47"/>
  <c r="F474" i="47"/>
  <c r="F475" i="47"/>
  <c r="F476" i="47"/>
  <c r="F478" i="47"/>
  <c r="F479" i="47"/>
  <c r="F480" i="47"/>
  <c r="F482" i="47"/>
  <c r="F483" i="47"/>
  <c r="F485" i="47"/>
  <c r="F498" i="47"/>
  <c r="F499" i="47"/>
  <c r="F501" i="47"/>
  <c r="F502" i="47"/>
  <c r="F504" i="47"/>
  <c r="F505" i="47"/>
  <c r="E507" i="47"/>
  <c r="F507" i="47" s="1"/>
  <c r="F508" i="47"/>
  <c r="F509" i="47"/>
  <c r="F510" i="47"/>
  <c r="F511" i="47"/>
  <c r="F513" i="47"/>
  <c r="F514" i="47"/>
  <c r="F515" i="47"/>
  <c r="F517" i="47"/>
  <c r="F518" i="47"/>
  <c r="F520" i="47"/>
  <c r="D533" i="47"/>
  <c r="F533" i="47" s="1"/>
  <c r="F534" i="47"/>
  <c r="D535" i="47"/>
  <c r="F535" i="47" s="1"/>
  <c r="D536" i="47"/>
  <c r="F536" i="47" s="1"/>
  <c r="F538" i="47"/>
  <c r="F539" i="47"/>
  <c r="F540" i="47"/>
  <c r="F541" i="47"/>
  <c r="F543" i="47"/>
  <c r="F544" i="47"/>
  <c r="F545" i="47"/>
  <c r="D546" i="47"/>
  <c r="F546" i="47" s="1"/>
  <c r="F547" i="47"/>
  <c r="F547" i="50" l="1"/>
  <c r="F548" i="47"/>
  <c r="F486" i="47"/>
  <c r="F487" i="47" s="1"/>
  <c r="F521" i="47"/>
  <c r="F522" i="47" s="1"/>
  <c r="F523" i="47" s="1"/>
  <c r="M447" i="47"/>
  <c r="M559" i="47"/>
  <c r="F345" i="50"/>
  <c r="F404" i="50"/>
  <c r="F406" i="50" s="1"/>
  <c r="F539" i="50"/>
  <c r="F541" i="50" s="1"/>
  <c r="F439" i="48"/>
  <c r="F442" i="48" s="1"/>
  <c r="F443" i="48" s="1"/>
  <c r="F326" i="48"/>
  <c r="F328" i="48" s="1"/>
  <c r="F476" i="48"/>
  <c r="F365" i="48"/>
  <c r="F366" i="48" s="1"/>
  <c r="F291" i="48"/>
  <c r="F292" i="48" s="1"/>
  <c r="F477" i="48"/>
  <c r="F478" i="48" s="1"/>
  <c r="F564" i="48"/>
  <c r="F401" i="48"/>
  <c r="F400" i="48"/>
  <c r="F402" i="48"/>
  <c r="F403" i="48" s="1"/>
  <c r="A310" i="46"/>
  <c r="A311" i="46" s="1"/>
  <c r="A312" i="46" s="1"/>
  <c r="A313" i="46" s="1"/>
  <c r="A314" i="46" s="1"/>
  <c r="A315" i="46" s="1"/>
  <c r="A316" i="46" s="1"/>
  <c r="A317" i="46" s="1"/>
  <c r="A318" i="46" s="1"/>
  <c r="A319" i="46" s="1"/>
  <c r="A320" i="46" s="1"/>
  <c r="A321" i="46" s="1"/>
  <c r="A322" i="46" s="1"/>
  <c r="A323" i="46" s="1"/>
  <c r="A324" i="46" s="1"/>
  <c r="A325" i="46" s="1"/>
  <c r="A326" i="46" s="1"/>
  <c r="A327" i="46" s="1"/>
  <c r="A328" i="46" s="1"/>
  <c r="A329" i="46" s="1"/>
  <c r="A330" i="46" s="1"/>
  <c r="A331" i="46" s="1"/>
  <c r="A332" i="46" s="1"/>
  <c r="A333" i="46" s="1"/>
  <c r="A254" i="45"/>
  <c r="A255" i="45" s="1"/>
  <c r="A256" i="45" s="1"/>
  <c r="A257" i="45" s="1"/>
  <c r="A258" i="45" s="1"/>
  <c r="A259" i="45" s="1"/>
  <c r="A260" i="45" s="1"/>
  <c r="A261" i="45" s="1"/>
  <c r="A262" i="45" s="1"/>
  <c r="A263" i="45" s="1"/>
  <c r="A264" i="45" s="1"/>
  <c r="A265" i="45" s="1"/>
  <c r="A266" i="45" s="1"/>
  <c r="A267" i="45" s="1"/>
  <c r="A268" i="45" s="1"/>
  <c r="A269" i="45" s="1"/>
  <c r="A270" i="45" s="1"/>
  <c r="A271" i="45" s="1"/>
  <c r="A272" i="45" s="1"/>
  <c r="A273" i="45" s="1"/>
  <c r="A274" i="45" s="1"/>
  <c r="A275" i="45" s="1"/>
  <c r="A276" i="45" s="1"/>
  <c r="A277" i="45" s="1"/>
  <c r="A219" i="45"/>
  <c r="A220" i="45" s="1"/>
  <c r="A221" i="45" s="1"/>
  <c r="A222" i="45" s="1"/>
  <c r="A223" i="45" s="1"/>
  <c r="A224" i="45" s="1"/>
  <c r="A225" i="45" s="1"/>
  <c r="A226" i="45" s="1"/>
  <c r="A227" i="45" s="1"/>
  <c r="A228" i="45" s="1"/>
  <c r="A229" i="45" s="1"/>
  <c r="A230" i="45" s="1"/>
  <c r="A231" i="45" s="1"/>
  <c r="A232" i="45" s="1"/>
  <c r="A233" i="45" s="1"/>
  <c r="A234" i="45" s="1"/>
  <c r="A235" i="45" s="1"/>
  <c r="A236" i="45" s="1"/>
  <c r="A237" i="45" s="1"/>
  <c r="A238" i="45" s="1"/>
  <c r="A239" i="45" s="1"/>
  <c r="A240" i="45" s="1"/>
  <c r="A241" i="45" s="1"/>
  <c r="F557" i="47" l="1"/>
  <c r="F346" i="50"/>
  <c r="F349" i="50" s="1"/>
  <c r="F350" i="50" s="1"/>
  <c r="F542" i="50"/>
  <c r="F543" i="50" s="1"/>
  <c r="F405" i="50"/>
  <c r="F407" i="50"/>
  <c r="F408" i="50" s="1"/>
  <c r="F540" i="50"/>
  <c r="F489" i="47"/>
  <c r="F440" i="48"/>
  <c r="F441" i="48"/>
  <c r="F329" i="48"/>
  <c r="F330" i="48" s="1"/>
  <c r="F294" i="48"/>
  <c r="F295" i="48" s="1"/>
  <c r="F293" i="48"/>
  <c r="F368" i="48"/>
  <c r="F369" i="48" s="1"/>
  <c r="F367" i="48"/>
  <c r="F327" i="48"/>
  <c r="F490" i="47"/>
  <c r="F491" i="47" s="1"/>
  <c r="F525" i="47"/>
  <c r="F526" i="47" s="1"/>
  <c r="F524" i="47"/>
  <c r="F488" i="47"/>
  <c r="F549" i="47"/>
  <c r="F404" i="48"/>
  <c r="F479" i="48"/>
  <c r="F567" i="48"/>
  <c r="F568" i="48" s="1"/>
  <c r="F566" i="48"/>
  <c r="F565" i="48"/>
  <c r="F348" i="50" l="1"/>
  <c r="F347" i="50"/>
  <c r="F544" i="50"/>
  <c r="F409" i="50"/>
  <c r="F492" i="47"/>
  <c r="F444" i="48"/>
  <c r="F331" i="48"/>
  <c r="F296" i="48"/>
  <c r="F370" i="48"/>
  <c r="F527" i="47"/>
  <c r="F550" i="47"/>
  <c r="F552" i="47"/>
  <c r="F553" i="47" s="1"/>
  <c r="F551" i="47"/>
  <c r="F569" i="48"/>
  <c r="A94" i="45"/>
  <c r="A53" i="45"/>
  <c r="F351" i="50" l="1"/>
  <c r="F353" i="50" s="1"/>
  <c r="A95" i="45"/>
  <c r="A96" i="45" s="1"/>
  <c r="A97" i="45" s="1"/>
  <c r="A98" i="45" s="1"/>
  <c r="A99" i="45" s="1"/>
  <c r="A100" i="45" s="1"/>
  <c r="A101" i="45" s="1"/>
  <c r="A102" i="45" s="1"/>
  <c r="A103" i="45" s="1"/>
  <c r="A104" i="45" s="1"/>
  <c r="A105" i="45" s="1"/>
  <c r="A106" i="45" s="1"/>
  <c r="A107" i="45" s="1"/>
  <c r="A108" i="45" s="1"/>
  <c r="A109" i="45" s="1"/>
  <c r="A110" i="45" s="1"/>
  <c r="A111" i="45" s="1"/>
  <c r="A112" i="45" s="1"/>
  <c r="A113" i="45" s="1"/>
  <c r="A114" i="45" s="1"/>
  <c r="A115" i="45" s="1"/>
  <c r="A116" i="45" s="1"/>
  <c r="A117" i="45" s="1"/>
  <c r="A118" i="45" s="1"/>
  <c r="A119" i="45" s="1"/>
  <c r="A120" i="45" s="1"/>
  <c r="A121" i="45" s="1"/>
  <c r="A54" i="45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F554" i="47"/>
  <c r="F520" i="58" l="1"/>
  <c r="F522" i="58"/>
  <c r="F524" i="58"/>
  <c r="F525" i="58"/>
  <c r="F526" i="58"/>
  <c r="F527" i="58"/>
  <c r="F528" i="58"/>
  <c r="F529" i="58"/>
  <c r="F530" i="58"/>
  <c r="F532" i="58"/>
  <c r="F533" i="58"/>
  <c r="F534" i="58"/>
  <c r="F536" i="58"/>
  <c r="F538" i="58"/>
  <c r="F539" i="58"/>
  <c r="F540" i="58"/>
  <c r="F541" i="58"/>
  <c r="F542" i="58"/>
  <c r="F543" i="58"/>
  <c r="F545" i="58"/>
  <c r="F546" i="58"/>
  <c r="F547" i="58"/>
  <c r="F548" i="58"/>
  <c r="F549" i="58"/>
  <c r="F550" i="58"/>
  <c r="F551" i="58"/>
  <c r="F552" i="58"/>
  <c r="F554" i="58"/>
  <c r="F555" i="58"/>
  <c r="F556" i="58"/>
  <c r="F557" i="58"/>
  <c r="F558" i="58"/>
  <c r="F559" i="58"/>
  <c r="F560" i="58"/>
  <c r="F561" i="58"/>
  <c r="F562" i="58"/>
  <c r="F563" i="58"/>
  <c r="F564" i="58"/>
  <c r="F566" i="58"/>
  <c r="F567" i="58"/>
  <c r="F568" i="58"/>
  <c r="F569" i="58"/>
  <c r="F570" i="58"/>
  <c r="F571" i="58"/>
  <c r="F572" i="58"/>
  <c r="F573" i="58"/>
  <c r="F574" i="58"/>
  <c r="F575" i="58"/>
  <c r="F576" i="58"/>
  <c r="F577" i="58"/>
  <c r="F578" i="58"/>
  <c r="F579" i="58"/>
  <c r="F580" i="58"/>
  <c r="F581" i="58"/>
  <c r="D537" i="58"/>
  <c r="F537" i="58" s="1"/>
  <c r="D519" i="58"/>
  <c r="F519" i="58" s="1"/>
  <c r="F584" i="58" l="1"/>
  <c r="F585" i="58"/>
  <c r="F588" i="58" s="1"/>
  <c r="F589" i="58" s="1"/>
  <c r="F445" i="58"/>
  <c r="F446" i="58"/>
  <c r="F448" i="58"/>
  <c r="F449" i="58"/>
  <c r="F451" i="58"/>
  <c r="F452" i="58"/>
  <c r="F454" i="58"/>
  <c r="F455" i="58"/>
  <c r="F456" i="58"/>
  <c r="F457" i="58"/>
  <c r="F458" i="58"/>
  <c r="F460" i="58"/>
  <c r="F461" i="58"/>
  <c r="F462" i="58"/>
  <c r="F464" i="58"/>
  <c r="F465" i="58"/>
  <c r="F467" i="58"/>
  <c r="F444" i="58"/>
  <c r="F469" i="58" l="1"/>
  <c r="F586" i="58"/>
  <c r="F587" i="58"/>
  <c r="F590" i="58" l="1"/>
  <c r="F470" i="58"/>
  <c r="F473" i="58" s="1"/>
  <c r="F474" i="58" s="1"/>
  <c r="F471" i="58" l="1"/>
  <c r="F472" i="58"/>
  <c r="F409" i="58"/>
  <c r="F410" i="58"/>
  <c r="F412" i="58"/>
  <c r="F413" i="58"/>
  <c r="F415" i="58"/>
  <c r="F416" i="58"/>
  <c r="F418" i="58"/>
  <c r="F419" i="58"/>
  <c r="F420" i="58"/>
  <c r="F421" i="58"/>
  <c r="F422" i="58"/>
  <c r="F424" i="58"/>
  <c r="F425" i="58"/>
  <c r="F426" i="58"/>
  <c r="F428" i="58"/>
  <c r="F429" i="58"/>
  <c r="F431" i="58"/>
  <c r="F408" i="58"/>
  <c r="F395" i="58"/>
  <c r="F393" i="58"/>
  <c r="F392" i="58"/>
  <c r="F390" i="58"/>
  <c r="F389" i="58"/>
  <c r="F388" i="58"/>
  <c r="F386" i="58"/>
  <c r="F385" i="58"/>
  <c r="F384" i="58"/>
  <c r="F383" i="58"/>
  <c r="F382" i="58"/>
  <c r="F380" i="58"/>
  <c r="F379" i="58"/>
  <c r="F377" i="58"/>
  <c r="F376" i="58"/>
  <c r="F374" i="58"/>
  <c r="F373" i="58"/>
  <c r="F372" i="58"/>
  <c r="F332" i="58"/>
  <c r="F333" i="58"/>
  <c r="F335" i="58"/>
  <c r="F336" i="58"/>
  <c r="F338" i="58"/>
  <c r="F339" i="58"/>
  <c r="F340" i="58"/>
  <c r="F341" i="58"/>
  <c r="F343" i="58"/>
  <c r="F344" i="58"/>
  <c r="F345" i="58"/>
  <c r="F346" i="58"/>
  <c r="F347" i="58"/>
  <c r="F348" i="58"/>
  <c r="F349" i="58"/>
  <c r="F350" i="58"/>
  <c r="F352" i="58"/>
  <c r="F353" i="58"/>
  <c r="F354" i="58"/>
  <c r="F356" i="58"/>
  <c r="F357" i="58"/>
  <c r="F359" i="58"/>
  <c r="F331" i="58"/>
  <c r="F253" i="58"/>
  <c r="F254" i="58"/>
  <c r="F256" i="58"/>
  <c r="F257" i="58"/>
  <c r="F259" i="58"/>
  <c r="F260" i="58"/>
  <c r="F261" i="58"/>
  <c r="F263" i="58"/>
  <c r="F264" i="58"/>
  <c r="F265" i="58"/>
  <c r="F266" i="58"/>
  <c r="F267" i="58"/>
  <c r="F268" i="58"/>
  <c r="F269" i="58"/>
  <c r="F270" i="58"/>
  <c r="F272" i="58"/>
  <c r="F273" i="58"/>
  <c r="F275" i="58"/>
  <c r="F276" i="58"/>
  <c r="F278" i="58"/>
  <c r="F252" i="58"/>
  <c r="F211" i="58"/>
  <c r="F212" i="58"/>
  <c r="F214" i="58"/>
  <c r="F215" i="58"/>
  <c r="F217" i="58"/>
  <c r="F218" i="58"/>
  <c r="F219" i="58"/>
  <c r="F222" i="58"/>
  <c r="F223" i="58"/>
  <c r="F224" i="58"/>
  <c r="F225" i="58"/>
  <c r="F226" i="58"/>
  <c r="F227" i="58"/>
  <c r="F228" i="58"/>
  <c r="F230" i="58"/>
  <c r="F231" i="58"/>
  <c r="F232" i="58"/>
  <c r="F234" i="58"/>
  <c r="F235" i="58"/>
  <c r="F237" i="58"/>
  <c r="F210" i="58"/>
  <c r="E221" i="58"/>
  <c r="F221" i="58" s="1"/>
  <c r="F171" i="58"/>
  <c r="F172" i="58"/>
  <c r="F174" i="58"/>
  <c r="F175" i="58"/>
  <c r="F177" i="58"/>
  <c r="F178" i="58"/>
  <c r="F179" i="58"/>
  <c r="F181" i="58"/>
  <c r="F182" i="58"/>
  <c r="F183" i="58"/>
  <c r="F184" i="58"/>
  <c r="F185" i="58"/>
  <c r="F186" i="58"/>
  <c r="F187" i="58"/>
  <c r="F188" i="58"/>
  <c r="F190" i="58"/>
  <c r="F191" i="58"/>
  <c r="F192" i="58"/>
  <c r="F194" i="58"/>
  <c r="F195" i="58"/>
  <c r="F197" i="58"/>
  <c r="F170" i="58"/>
  <c r="F131" i="58"/>
  <c r="F132" i="58"/>
  <c r="F134" i="58"/>
  <c r="F135" i="58"/>
  <c r="F137" i="58"/>
  <c r="F138" i="58"/>
  <c r="F139" i="58"/>
  <c r="F141" i="58"/>
  <c r="F142" i="58"/>
  <c r="F143" i="58"/>
  <c r="F144" i="58"/>
  <c r="F145" i="58"/>
  <c r="F146" i="58"/>
  <c r="F147" i="58"/>
  <c r="F148" i="58"/>
  <c r="F150" i="58"/>
  <c r="F151" i="58"/>
  <c r="F152" i="58"/>
  <c r="F153" i="58"/>
  <c r="F154" i="58"/>
  <c r="F155" i="58"/>
  <c r="F157" i="58"/>
  <c r="F130" i="58"/>
  <c r="F91" i="58"/>
  <c r="F92" i="58"/>
  <c r="F94" i="58"/>
  <c r="F95" i="58"/>
  <c r="F97" i="58"/>
  <c r="F98" i="58"/>
  <c r="F99" i="58"/>
  <c r="F101" i="58"/>
  <c r="F102" i="58"/>
  <c r="F103" i="58"/>
  <c r="F104" i="58"/>
  <c r="F105" i="58"/>
  <c r="F106" i="58"/>
  <c r="F107" i="58"/>
  <c r="F108" i="58"/>
  <c r="F110" i="58"/>
  <c r="F111" i="58"/>
  <c r="F112" i="58"/>
  <c r="F114" i="58"/>
  <c r="F115" i="58"/>
  <c r="F117" i="58"/>
  <c r="F90" i="58"/>
  <c r="F77" i="58"/>
  <c r="F75" i="58"/>
  <c r="F74" i="58"/>
  <c r="F72" i="58"/>
  <c r="F71" i="58"/>
  <c r="F70" i="58"/>
  <c r="F68" i="58"/>
  <c r="F67" i="58"/>
  <c r="F66" i="58"/>
  <c r="F65" i="58"/>
  <c r="F64" i="58"/>
  <c r="F63" i="58"/>
  <c r="F62" i="58"/>
  <c r="F61" i="58"/>
  <c r="F59" i="58"/>
  <c r="F58" i="58"/>
  <c r="F57" i="58"/>
  <c r="F54" i="58"/>
  <c r="F52" i="58"/>
  <c r="F51" i="58"/>
  <c r="F50" i="58"/>
  <c r="F9" i="58"/>
  <c r="F10" i="58"/>
  <c r="F12" i="58"/>
  <c r="F13" i="58"/>
  <c r="F15" i="58"/>
  <c r="F16" i="58"/>
  <c r="F17" i="58"/>
  <c r="F18" i="58"/>
  <c r="F20" i="58"/>
  <c r="F21" i="58"/>
  <c r="F22" i="58"/>
  <c r="F23" i="58"/>
  <c r="F24" i="58"/>
  <c r="F25" i="58"/>
  <c r="F26" i="58"/>
  <c r="F27" i="58"/>
  <c r="F29" i="58"/>
  <c r="F30" i="58"/>
  <c r="F31" i="58"/>
  <c r="F33" i="58"/>
  <c r="F34" i="58"/>
  <c r="F36" i="58"/>
  <c r="F8" i="58"/>
  <c r="F198" i="58" l="1"/>
  <c r="F239" i="58"/>
  <c r="F37" i="58"/>
  <c r="F475" i="58"/>
  <c r="F78" i="58"/>
  <c r="F79" i="58" s="1"/>
  <c r="F432" i="58"/>
  <c r="F433" i="58" s="1"/>
  <c r="F436" i="58" s="1"/>
  <c r="F437" i="58" s="1"/>
  <c r="F38" i="58"/>
  <c r="F118" i="58"/>
  <c r="F279" i="58"/>
  <c r="F240" i="58"/>
  <c r="F158" i="58"/>
  <c r="F360" i="58"/>
  <c r="F396" i="58"/>
  <c r="F397" i="58" s="1"/>
  <c r="F280" i="58" l="1"/>
  <c r="F282" i="58" s="1"/>
  <c r="F159" i="58"/>
  <c r="F161" i="58" s="1"/>
  <c r="F435" i="58"/>
  <c r="F434" i="58"/>
  <c r="F199" i="58"/>
  <c r="F201" i="58" s="1"/>
  <c r="F242" i="58"/>
  <c r="F241" i="58"/>
  <c r="F243" i="58"/>
  <c r="F244" i="58" s="1"/>
  <c r="F39" i="58"/>
  <c r="F40" i="58"/>
  <c r="F41" i="58"/>
  <c r="F42" i="58" s="1"/>
  <c r="F119" i="58"/>
  <c r="F400" i="58"/>
  <c r="F401" i="58" s="1"/>
  <c r="F399" i="58"/>
  <c r="F398" i="58"/>
  <c r="F82" i="58"/>
  <c r="F83" i="58" s="1"/>
  <c r="F80" i="58"/>
  <c r="F81" i="58"/>
  <c r="F361" i="58"/>
  <c r="F281" i="58" l="1"/>
  <c r="F283" i="58"/>
  <c r="F284" i="58" s="1"/>
  <c r="F162" i="58"/>
  <c r="F163" i="58" s="1"/>
  <c r="F160" i="58"/>
  <c r="F438" i="58"/>
  <c r="F43" i="58"/>
  <c r="F202" i="58"/>
  <c r="F203" i="58" s="1"/>
  <c r="F200" i="58"/>
  <c r="F122" i="58"/>
  <c r="F123" i="58" s="1"/>
  <c r="F120" i="58"/>
  <c r="F402" i="58"/>
  <c r="F245" i="58"/>
  <c r="F121" i="58"/>
  <c r="F364" i="58"/>
  <c r="F365" i="58" s="1"/>
  <c r="F363" i="58"/>
  <c r="F362" i="58"/>
  <c r="F84" i="58"/>
  <c r="F285" i="58" l="1"/>
  <c r="F164" i="58"/>
  <c r="F204" i="58"/>
  <c r="F366" i="58"/>
  <c r="F124" i="58"/>
  <c r="F216" i="54"/>
  <c r="F215" i="54"/>
  <c r="F213" i="54"/>
  <c r="F212" i="54"/>
  <c r="F211" i="54"/>
  <c r="F209" i="54"/>
  <c r="F208" i="54"/>
  <c r="F206" i="54"/>
  <c r="F204" i="54"/>
  <c r="F203" i="54"/>
  <c r="F202" i="54"/>
  <c r="F201" i="54"/>
  <c r="F200" i="54"/>
  <c r="D207" i="54"/>
  <c r="E183" i="54"/>
  <c r="F183" i="54" s="1"/>
  <c r="E181" i="54"/>
  <c r="E179" i="54"/>
  <c r="E177" i="54"/>
  <c r="F177" i="54" s="1"/>
  <c r="E176" i="54"/>
  <c r="E175" i="54"/>
  <c r="F173" i="54"/>
  <c r="E172" i="54"/>
  <c r="F172" i="54" s="1"/>
  <c r="E170" i="54"/>
  <c r="F170" i="54" s="1"/>
  <c r="E169" i="54"/>
  <c r="F169" i="54" s="1"/>
  <c r="E168" i="54"/>
  <c r="D168" i="54"/>
  <c r="E166" i="54"/>
  <c r="D166" i="54"/>
  <c r="E164" i="54"/>
  <c r="F164" i="54" s="1"/>
  <c r="E163" i="54"/>
  <c r="D163" i="54"/>
  <c r="E162" i="54"/>
  <c r="F162" i="54" s="1"/>
  <c r="E146" i="54"/>
  <c r="F146" i="54" s="1"/>
  <c r="E144" i="54"/>
  <c r="F144" i="54" s="1"/>
  <c r="D143" i="54"/>
  <c r="F143" i="54" s="1"/>
  <c r="E141" i="54"/>
  <c r="E139" i="54"/>
  <c r="F139" i="54" s="1"/>
  <c r="E138" i="54"/>
  <c r="F138" i="54" s="1"/>
  <c r="E137" i="54"/>
  <c r="F137" i="54" s="1"/>
  <c r="E135" i="54"/>
  <c r="E133" i="54"/>
  <c r="F133" i="54" s="1"/>
  <c r="E132" i="54"/>
  <c r="E131" i="54"/>
  <c r="E129" i="54"/>
  <c r="F129" i="54" s="1"/>
  <c r="E126" i="54"/>
  <c r="F126" i="54" s="1"/>
  <c r="E125" i="54"/>
  <c r="F125" i="54" s="1"/>
  <c r="F124" i="54"/>
  <c r="F122" i="54"/>
  <c r="E121" i="54"/>
  <c r="F121" i="54" s="1"/>
  <c r="E119" i="54"/>
  <c r="F119" i="54" s="1"/>
  <c r="E118" i="54"/>
  <c r="F118" i="54" s="1"/>
  <c r="E117" i="54"/>
  <c r="D117" i="54"/>
  <c r="E115" i="54"/>
  <c r="D115" i="54"/>
  <c r="E113" i="54"/>
  <c r="F113" i="54" s="1"/>
  <c r="E112" i="54"/>
  <c r="E111" i="54"/>
  <c r="D111" i="54"/>
  <c r="D112" i="54" s="1"/>
  <c r="F219" i="54" l="1"/>
  <c r="D181" i="54"/>
  <c r="F181" i="54" s="1"/>
  <c r="D141" i="54"/>
  <c r="F141" i="54" s="1"/>
  <c r="F168" i="54"/>
  <c r="F163" i="54"/>
  <c r="F111" i="54"/>
  <c r="F117" i="54"/>
  <c r="F112" i="54"/>
  <c r="D175" i="54"/>
  <c r="D179" i="54"/>
  <c r="F179" i="54" s="1"/>
  <c r="F166" i="54"/>
  <c r="D131" i="54"/>
  <c r="F131" i="54" s="1"/>
  <c r="D135" i="54"/>
  <c r="F135" i="54" s="1"/>
  <c r="F115" i="54"/>
  <c r="F220" i="54" l="1"/>
  <c r="D132" i="54"/>
  <c r="F132" i="54" s="1"/>
  <c r="F175" i="54"/>
  <c r="D176" i="54"/>
  <c r="F176" i="54" s="1"/>
  <c r="F147" i="54" l="1"/>
  <c r="F185" i="54"/>
  <c r="F223" i="54"/>
  <c r="F224" i="54" s="1"/>
  <c r="F222" i="54"/>
  <c r="F221" i="54"/>
  <c r="F148" i="54" l="1"/>
  <c r="F149" i="54" s="1"/>
  <c r="F151" i="54"/>
  <c r="F152" i="54" s="1"/>
  <c r="F186" i="54"/>
  <c r="F225" i="54"/>
  <c r="F150" i="54" l="1"/>
  <c r="F153" i="54" s="1"/>
  <c r="F227" i="54" s="1"/>
  <c r="F189" i="54"/>
  <c r="F190" i="54" s="1"/>
  <c r="F187" i="54"/>
  <c r="F188" i="54"/>
  <c r="F91" i="54"/>
  <c r="F89" i="54"/>
  <c r="F88" i="54"/>
  <c r="F86" i="54"/>
  <c r="F85" i="54"/>
  <c r="F83" i="54"/>
  <c r="F82" i="54"/>
  <c r="F81" i="54"/>
  <c r="F80" i="54"/>
  <c r="F79" i="54"/>
  <c r="F78" i="54"/>
  <c r="F77" i="54"/>
  <c r="F76" i="54"/>
  <c r="F74" i="54"/>
  <c r="F73" i="54"/>
  <c r="F70" i="54"/>
  <c r="F69" i="54"/>
  <c r="F68" i="54"/>
  <c r="F67" i="54"/>
  <c r="F65" i="54"/>
  <c r="F63" i="54"/>
  <c r="F62" i="54"/>
  <c r="F61" i="54"/>
  <c r="E72" i="54"/>
  <c r="F72" i="54" s="1"/>
  <c r="F191" i="54" l="1"/>
  <c r="F94" i="54"/>
  <c r="F95" i="54" l="1"/>
  <c r="F98" i="54" s="1"/>
  <c r="F99" i="54" s="1"/>
  <c r="F41" i="54"/>
  <c r="F40" i="54"/>
  <c r="F39" i="54"/>
  <c r="F37" i="54"/>
  <c r="F36" i="54"/>
  <c r="F35" i="54"/>
  <c r="F34" i="54"/>
  <c r="F33" i="54"/>
  <c r="F32" i="54"/>
  <c r="F31" i="54"/>
  <c r="F30" i="54"/>
  <c r="F29" i="54"/>
  <c r="F27" i="54"/>
  <c r="F26" i="54"/>
  <c r="F25" i="54"/>
  <c r="F23" i="54"/>
  <c r="F22" i="54"/>
  <c r="F20" i="54"/>
  <c r="F19" i="54"/>
  <c r="F18" i="54"/>
  <c r="F16" i="54"/>
  <c r="F14" i="54"/>
  <c r="F13" i="54"/>
  <c r="F12" i="54"/>
  <c r="F10" i="54"/>
  <c r="F9" i="54"/>
  <c r="F96" i="54" l="1"/>
  <c r="F97" i="54"/>
  <c r="F44" i="54"/>
  <c r="F45" i="54" s="1"/>
  <c r="F48" i="54" s="1"/>
  <c r="F49" i="54" s="1"/>
  <c r="F100" i="54" l="1"/>
  <c r="F103" i="54" s="1"/>
  <c r="F47" i="54"/>
  <c r="F46" i="54"/>
  <c r="F50" i="54" l="1"/>
  <c r="F53" i="54" s="1"/>
  <c r="F633" i="52"/>
  <c r="F634" i="52"/>
  <c r="F635" i="52"/>
  <c r="F637" i="52"/>
  <c r="F638" i="52"/>
  <c r="F639" i="52"/>
  <c r="F640" i="52"/>
  <c r="F642" i="52"/>
  <c r="F644" i="52"/>
  <c r="F645" i="52"/>
  <c r="F646" i="52"/>
  <c r="F648" i="52"/>
  <c r="F649" i="52"/>
  <c r="F651" i="52"/>
  <c r="F652" i="52"/>
  <c r="F653" i="52"/>
  <c r="F655" i="52"/>
  <c r="F656" i="52"/>
  <c r="F658" i="52"/>
  <c r="F659" i="52"/>
  <c r="F660" i="52"/>
  <c r="F661" i="52"/>
  <c r="F662" i="52"/>
  <c r="F663" i="52"/>
  <c r="F664" i="52"/>
  <c r="F665" i="52"/>
  <c r="F666" i="52"/>
  <c r="F668" i="52"/>
  <c r="F669" i="52"/>
  <c r="F670" i="52"/>
  <c r="F490" i="52"/>
  <c r="F491" i="52"/>
  <c r="F493" i="52"/>
  <c r="F494" i="52"/>
  <c r="F496" i="52"/>
  <c r="F498" i="52"/>
  <c r="F499" i="52"/>
  <c r="F501" i="52"/>
  <c r="F502" i="52"/>
  <c r="F504" i="52"/>
  <c r="F505" i="52"/>
  <c r="F507" i="52"/>
  <c r="F508" i="52"/>
  <c r="F509" i="52"/>
  <c r="F510" i="52"/>
  <c r="F511" i="52"/>
  <c r="F512" i="52"/>
  <c r="F513" i="52"/>
  <c r="F514" i="52"/>
  <c r="F515" i="52"/>
  <c r="F516" i="52"/>
  <c r="F517" i="52"/>
  <c r="F518" i="52"/>
  <c r="F520" i="52"/>
  <c r="F521" i="52"/>
  <c r="F522" i="52"/>
  <c r="F523" i="52"/>
  <c r="F537" i="52"/>
  <c r="F538" i="52"/>
  <c r="F539" i="52"/>
  <c r="F541" i="52"/>
  <c r="F542" i="52"/>
  <c r="F543" i="52"/>
  <c r="F545" i="52"/>
  <c r="F547" i="52"/>
  <c r="F548" i="52"/>
  <c r="F550" i="52"/>
  <c r="F551" i="52"/>
  <c r="F553" i="52"/>
  <c r="F554" i="52"/>
  <c r="F555" i="52"/>
  <c r="F557" i="52"/>
  <c r="F558" i="52"/>
  <c r="F559" i="52"/>
  <c r="F560" i="52"/>
  <c r="F561" i="52"/>
  <c r="F562" i="52"/>
  <c r="F563" i="52"/>
  <c r="F564" i="52"/>
  <c r="F565" i="52"/>
  <c r="F566" i="52"/>
  <c r="F567" i="52"/>
  <c r="F569" i="52"/>
  <c r="F570" i="52"/>
  <c r="F571" i="52"/>
  <c r="F584" i="52"/>
  <c r="F585" i="52"/>
  <c r="F586" i="52"/>
  <c r="F588" i="52"/>
  <c r="F589" i="52"/>
  <c r="F590" i="52"/>
  <c r="F592" i="52"/>
  <c r="F594" i="52"/>
  <c r="F595" i="52"/>
  <c r="F596" i="52"/>
  <c r="F598" i="52"/>
  <c r="F599" i="52"/>
  <c r="F601" i="52"/>
  <c r="F602" i="52"/>
  <c r="F603" i="52"/>
  <c r="D605" i="52"/>
  <c r="F605" i="52" s="1"/>
  <c r="F606" i="52"/>
  <c r="F608" i="52"/>
  <c r="F609" i="52"/>
  <c r="F610" i="52"/>
  <c r="F611" i="52"/>
  <c r="F612" i="52"/>
  <c r="F613" i="52"/>
  <c r="F614" i="52"/>
  <c r="F615" i="52"/>
  <c r="F616" i="52"/>
  <c r="F618" i="52"/>
  <c r="F619" i="52"/>
  <c r="F620" i="52"/>
  <c r="F508" i="53"/>
  <c r="F507" i="53"/>
  <c r="F505" i="53"/>
  <c r="F503" i="53"/>
  <c r="F502" i="53"/>
  <c r="F500" i="53"/>
  <c r="F498" i="53"/>
  <c r="F496" i="53"/>
  <c r="F511" i="53" l="1"/>
  <c r="F621" i="52"/>
  <c r="F572" i="52"/>
  <c r="F573" i="52" s="1"/>
  <c r="F575" i="52" s="1"/>
  <c r="F525" i="52"/>
  <c r="F673" i="52"/>
  <c r="F674" i="52" s="1"/>
  <c r="F229" i="54"/>
  <c r="F622" i="52"/>
  <c r="F624" i="52" s="1"/>
  <c r="F483" i="53"/>
  <c r="F482" i="53"/>
  <c r="F481" i="53"/>
  <c r="F480" i="53"/>
  <c r="F478" i="53"/>
  <c r="F477" i="53"/>
  <c r="F476" i="53"/>
  <c r="F475" i="53"/>
  <c r="F474" i="53"/>
  <c r="F473" i="53"/>
  <c r="F472" i="53"/>
  <c r="F471" i="53"/>
  <c r="F470" i="53"/>
  <c r="F469" i="53"/>
  <c r="F468" i="53"/>
  <c r="F466" i="53"/>
  <c r="F465" i="53"/>
  <c r="F464" i="53"/>
  <c r="F462" i="53"/>
  <c r="F461" i="53"/>
  <c r="F459" i="53"/>
  <c r="F458" i="53"/>
  <c r="F457" i="53"/>
  <c r="F455" i="53"/>
  <c r="F453" i="53"/>
  <c r="F452" i="53"/>
  <c r="F451" i="53"/>
  <c r="F449" i="53"/>
  <c r="F448" i="53"/>
  <c r="F447" i="53"/>
  <c r="F435" i="53"/>
  <c r="F434" i="53"/>
  <c r="F433" i="53"/>
  <c r="F432" i="53"/>
  <c r="F431" i="53"/>
  <c r="F429" i="53"/>
  <c r="F428" i="53"/>
  <c r="F427" i="53"/>
  <c r="F426" i="53"/>
  <c r="F425" i="53"/>
  <c r="F424" i="53"/>
  <c r="F423" i="53"/>
  <c r="F422" i="53"/>
  <c r="F421" i="53"/>
  <c r="F420" i="53"/>
  <c r="F418" i="53"/>
  <c r="F417" i="53"/>
  <c r="F416" i="53"/>
  <c r="F414" i="53"/>
  <c r="F413" i="53"/>
  <c r="F411" i="53"/>
  <c r="F410" i="53"/>
  <c r="F409" i="53"/>
  <c r="F407" i="53"/>
  <c r="F405" i="53"/>
  <c r="F404" i="53"/>
  <c r="F403" i="53"/>
  <c r="F401" i="53"/>
  <c r="F400" i="53"/>
  <c r="F399" i="53"/>
  <c r="F387" i="53"/>
  <c r="F386" i="53"/>
  <c r="F385" i="53"/>
  <c r="F384" i="53"/>
  <c r="F383" i="53"/>
  <c r="F382" i="53"/>
  <c r="F380" i="53"/>
  <c r="F379" i="53"/>
  <c r="F378" i="53"/>
  <c r="F377" i="53"/>
  <c r="F376" i="53"/>
  <c r="F375" i="53"/>
  <c r="F374" i="53"/>
  <c r="F373" i="53"/>
  <c r="F372" i="53"/>
  <c r="F371" i="53"/>
  <c r="F369" i="53"/>
  <c r="F368" i="53"/>
  <c r="F367" i="53"/>
  <c r="F365" i="53"/>
  <c r="F364" i="53"/>
  <c r="F362" i="53"/>
  <c r="F361" i="53"/>
  <c r="F360" i="53"/>
  <c r="F358" i="53"/>
  <c r="F356" i="53"/>
  <c r="F355" i="53"/>
  <c r="F354" i="53"/>
  <c r="F352" i="53"/>
  <c r="F351" i="53"/>
  <c r="F350" i="53"/>
  <c r="F338" i="53"/>
  <c r="F337" i="53"/>
  <c r="F336" i="53"/>
  <c r="F334" i="53"/>
  <c r="F333" i="53"/>
  <c r="F332" i="53"/>
  <c r="F331" i="53"/>
  <c r="F330" i="53"/>
  <c r="F329" i="53"/>
  <c r="F328" i="53"/>
  <c r="F327" i="53"/>
  <c r="F326" i="53"/>
  <c r="F325" i="53"/>
  <c r="F324" i="53"/>
  <c r="F323" i="53"/>
  <c r="F321" i="53"/>
  <c r="F320" i="53"/>
  <c r="F319" i="53"/>
  <c r="F317" i="53"/>
  <c r="F316" i="53"/>
  <c r="F314" i="53"/>
  <c r="F313" i="53"/>
  <c r="F312" i="53"/>
  <c r="F310" i="53"/>
  <c r="F308" i="53"/>
  <c r="F307" i="53"/>
  <c r="F306" i="53"/>
  <c r="F304" i="53"/>
  <c r="F303" i="53"/>
  <c r="F302" i="53"/>
  <c r="F253" i="53"/>
  <c r="F288" i="53"/>
  <c r="F287" i="53"/>
  <c r="F286" i="53"/>
  <c r="F284" i="53"/>
  <c r="F283" i="53"/>
  <c r="F282" i="53"/>
  <c r="F281" i="53"/>
  <c r="F280" i="53"/>
  <c r="F279" i="53"/>
  <c r="F278" i="53"/>
  <c r="F277" i="53"/>
  <c r="F276" i="53"/>
  <c r="F275" i="53"/>
  <c r="F273" i="53"/>
  <c r="F272" i="53"/>
  <c r="F271" i="53"/>
  <c r="F269" i="53"/>
  <c r="F268" i="53"/>
  <c r="F266" i="53"/>
  <c r="F265" i="53"/>
  <c r="F264" i="53"/>
  <c r="F262" i="53"/>
  <c r="F260" i="53"/>
  <c r="F259" i="53"/>
  <c r="F258" i="53"/>
  <c r="F256" i="53"/>
  <c r="F255" i="53"/>
  <c r="F254" i="53"/>
  <c r="F237" i="53"/>
  <c r="F236" i="53"/>
  <c r="F235" i="53"/>
  <c r="F234" i="53"/>
  <c r="F232" i="53"/>
  <c r="F231" i="53"/>
  <c r="F230" i="53"/>
  <c r="F229" i="53"/>
  <c r="F228" i="53"/>
  <c r="F227" i="53"/>
  <c r="F226" i="53"/>
  <c r="F224" i="53"/>
  <c r="F223" i="53"/>
  <c r="F222" i="53"/>
  <c r="F220" i="53"/>
  <c r="F219" i="53"/>
  <c r="F217" i="53"/>
  <c r="F216" i="53"/>
  <c r="F215" i="53"/>
  <c r="F213" i="53"/>
  <c r="F211" i="53"/>
  <c r="F210" i="53"/>
  <c r="F209" i="53"/>
  <c r="F207" i="53"/>
  <c r="F206" i="53"/>
  <c r="F205" i="53"/>
  <c r="F238" i="53" l="1"/>
  <c r="F289" i="53"/>
  <c r="F484" i="53"/>
  <c r="F436" i="53"/>
  <c r="F437" i="53" s="1"/>
  <c r="F439" i="53" s="1"/>
  <c r="F388" i="53"/>
  <c r="F512" i="53"/>
  <c r="F515" i="53" s="1"/>
  <c r="F516" i="53" s="1"/>
  <c r="F677" i="52"/>
  <c r="F678" i="52" s="1"/>
  <c r="F676" i="52"/>
  <c r="F675" i="52"/>
  <c r="F623" i="52"/>
  <c r="F574" i="52"/>
  <c r="F526" i="52"/>
  <c r="F529" i="52" s="1"/>
  <c r="F530" i="52" s="1"/>
  <c r="F576" i="52"/>
  <c r="F577" i="52" s="1"/>
  <c r="F625" i="52"/>
  <c r="F626" i="52" s="1"/>
  <c r="F339" i="53"/>
  <c r="F513" i="53" l="1"/>
  <c r="F514" i="53"/>
  <c r="F239" i="53"/>
  <c r="F242" i="53" s="1"/>
  <c r="F243" i="53" s="1"/>
  <c r="F485" i="53"/>
  <c r="F488" i="53" s="1"/>
  <c r="F489" i="53" s="1"/>
  <c r="F340" i="53"/>
  <c r="F343" i="53" s="1"/>
  <c r="F344" i="53" s="1"/>
  <c r="F290" i="53"/>
  <c r="F293" i="53" s="1"/>
  <c r="F294" i="53" s="1"/>
  <c r="F389" i="53"/>
  <c r="F391" i="53" s="1"/>
  <c r="F528" i="52"/>
  <c r="F679" i="52"/>
  <c r="F578" i="52"/>
  <c r="F527" i="52"/>
  <c r="F627" i="52"/>
  <c r="F440" i="53"/>
  <c r="F441" i="53" s="1"/>
  <c r="F438" i="53"/>
  <c r="F192" i="53"/>
  <c r="F191" i="53"/>
  <c r="F190" i="53"/>
  <c r="F189" i="53"/>
  <c r="F187" i="53"/>
  <c r="F186" i="53"/>
  <c r="F185" i="53"/>
  <c r="F184" i="53"/>
  <c r="F183" i="53"/>
  <c r="F182" i="53"/>
  <c r="F181" i="53"/>
  <c r="F180" i="53"/>
  <c r="F178" i="53"/>
  <c r="F177" i="53"/>
  <c r="F176" i="53"/>
  <c r="F174" i="53"/>
  <c r="F173" i="53"/>
  <c r="F171" i="53"/>
  <c r="F170" i="53"/>
  <c r="F169" i="53"/>
  <c r="F167" i="53"/>
  <c r="F165" i="53"/>
  <c r="F164" i="53"/>
  <c r="F163" i="53"/>
  <c r="F161" i="53"/>
  <c r="F160" i="53"/>
  <c r="F159" i="53"/>
  <c r="F146" i="53"/>
  <c r="F145" i="53"/>
  <c r="F144" i="53"/>
  <c r="F143" i="53"/>
  <c r="F141" i="53"/>
  <c r="F140" i="53"/>
  <c r="F139" i="53"/>
  <c r="F138" i="53"/>
  <c r="F137" i="53"/>
  <c r="F136" i="53"/>
  <c r="F135" i="53"/>
  <c r="F134" i="53"/>
  <c r="F133" i="53"/>
  <c r="F132" i="53"/>
  <c r="F130" i="53"/>
  <c r="F129" i="53"/>
  <c r="F128" i="53"/>
  <c r="F126" i="53"/>
  <c r="F125" i="53"/>
  <c r="F123" i="53"/>
  <c r="F122" i="53"/>
  <c r="F121" i="53"/>
  <c r="F119" i="53"/>
  <c r="F117" i="53"/>
  <c r="F116" i="53"/>
  <c r="F115" i="53"/>
  <c r="F113" i="53"/>
  <c r="F112" i="53"/>
  <c r="F111" i="53"/>
  <c r="F193" i="53" l="1"/>
  <c r="F147" i="53"/>
  <c r="F342" i="53"/>
  <c r="F240" i="53"/>
  <c r="F241" i="53"/>
  <c r="F517" i="53"/>
  <c r="F341" i="53"/>
  <c r="F345" i="53" s="1"/>
  <c r="F486" i="53"/>
  <c r="F291" i="53"/>
  <c r="F390" i="53"/>
  <c r="F392" i="53"/>
  <c r="F393" i="53" s="1"/>
  <c r="F292" i="53"/>
  <c r="F487" i="53"/>
  <c r="F531" i="52"/>
  <c r="F442" i="53"/>
  <c r="F98" i="53"/>
  <c r="F97" i="53"/>
  <c r="F96" i="53"/>
  <c r="F95" i="53"/>
  <c r="F93" i="53"/>
  <c r="F92" i="53"/>
  <c r="F91" i="53"/>
  <c r="F90" i="53"/>
  <c r="F89" i="53"/>
  <c r="F88" i="53"/>
  <c r="F87" i="53"/>
  <c r="F86" i="53"/>
  <c r="F85" i="53"/>
  <c r="F84" i="53"/>
  <c r="F83" i="53"/>
  <c r="F82" i="53"/>
  <c r="F80" i="53"/>
  <c r="F79" i="53"/>
  <c r="F78" i="53"/>
  <c r="F76" i="53"/>
  <c r="F75" i="53"/>
  <c r="F73" i="53"/>
  <c r="F72" i="53"/>
  <c r="F71" i="53"/>
  <c r="F69" i="53"/>
  <c r="F67" i="53"/>
  <c r="F66" i="53"/>
  <c r="F65" i="53"/>
  <c r="F64" i="53"/>
  <c r="F62" i="53"/>
  <c r="F61" i="53"/>
  <c r="F60" i="53"/>
  <c r="F100" i="53" l="1"/>
  <c r="F244" i="53"/>
  <c r="F490" i="53"/>
  <c r="F394" i="53"/>
  <c r="F295" i="53"/>
  <c r="F194" i="53"/>
  <c r="F197" i="53" s="1"/>
  <c r="F198" i="53" s="1"/>
  <c r="F148" i="53"/>
  <c r="F151" i="53" s="1"/>
  <c r="F152" i="53" s="1"/>
  <c r="F150" i="53" l="1"/>
  <c r="F196" i="53"/>
  <c r="F101" i="53"/>
  <c r="F104" i="53" s="1"/>
  <c r="F105" i="53" s="1"/>
  <c r="F149" i="53"/>
  <c r="F195" i="53"/>
  <c r="F153" i="53" l="1"/>
  <c r="F199" i="53"/>
  <c r="F103" i="53"/>
  <c r="F102" i="53"/>
  <c r="F106" i="53" l="1"/>
  <c r="F47" i="53"/>
  <c r="F46" i="53"/>
  <c r="F45" i="53"/>
  <c r="F44" i="53"/>
  <c r="F42" i="53"/>
  <c r="F41" i="53"/>
  <c r="F40" i="53"/>
  <c r="F39" i="53"/>
  <c r="F38" i="53"/>
  <c r="F37" i="53"/>
  <c r="F36" i="53"/>
  <c r="F35" i="53"/>
  <c r="F34" i="53"/>
  <c r="F32" i="53"/>
  <c r="F31" i="53"/>
  <c r="F29" i="53"/>
  <c r="F28" i="53"/>
  <c r="F27" i="53"/>
  <c r="F25" i="53"/>
  <c r="F24" i="53"/>
  <c r="F22" i="53"/>
  <c r="F21" i="53"/>
  <c r="F20" i="53"/>
  <c r="F18" i="53"/>
  <c r="F16" i="53"/>
  <c r="F15" i="53"/>
  <c r="F14" i="53"/>
  <c r="F13" i="53"/>
  <c r="F11" i="53"/>
  <c r="F10" i="53"/>
  <c r="F9" i="53"/>
  <c r="F48" i="53" l="1"/>
  <c r="F49" i="53" l="1"/>
  <c r="F52" i="53" s="1"/>
  <c r="F53" i="53" s="1"/>
  <c r="F394" i="52"/>
  <c r="F395" i="52"/>
  <c r="F396" i="52"/>
  <c r="F398" i="52"/>
  <c r="F399" i="52"/>
  <c r="F400" i="52"/>
  <c r="F402" i="52"/>
  <c r="F404" i="52"/>
  <c r="F405" i="52"/>
  <c r="F406" i="52"/>
  <c r="F408" i="52"/>
  <c r="F409" i="52"/>
  <c r="F412" i="52"/>
  <c r="F413" i="52"/>
  <c r="F414" i="52"/>
  <c r="F416" i="52"/>
  <c r="F417" i="52"/>
  <c r="F418" i="52"/>
  <c r="F419" i="52"/>
  <c r="F420" i="52"/>
  <c r="F421" i="52"/>
  <c r="F422" i="52"/>
  <c r="F423" i="52"/>
  <c r="F425" i="52"/>
  <c r="F426" i="52"/>
  <c r="F427" i="52"/>
  <c r="F440" i="52"/>
  <c r="F441" i="52"/>
  <c r="F442" i="52"/>
  <c r="F444" i="52"/>
  <c r="F445" i="52"/>
  <c r="F446" i="52"/>
  <c r="F447" i="52"/>
  <c r="F449" i="52"/>
  <c r="F451" i="52"/>
  <c r="F452" i="52"/>
  <c r="F453" i="52"/>
  <c r="F456" i="52"/>
  <c r="F457" i="52"/>
  <c r="F460" i="52"/>
  <c r="F461" i="52"/>
  <c r="F462" i="52"/>
  <c r="D465" i="52"/>
  <c r="F465" i="52" s="1"/>
  <c r="F466" i="52"/>
  <c r="F467" i="52"/>
  <c r="F468" i="52"/>
  <c r="F469" i="52"/>
  <c r="F470" i="52"/>
  <c r="F471" i="52"/>
  <c r="F472" i="52"/>
  <c r="F473" i="52"/>
  <c r="F475" i="52"/>
  <c r="F476" i="52"/>
  <c r="F477" i="52"/>
  <c r="F478" i="52"/>
  <c r="F347" i="52"/>
  <c r="F348" i="52"/>
  <c r="F349" i="52"/>
  <c r="F351" i="52"/>
  <c r="F352" i="52"/>
  <c r="F353" i="52"/>
  <c r="F355" i="52"/>
  <c r="F357" i="52"/>
  <c r="F358" i="52"/>
  <c r="F359" i="52"/>
  <c r="F361" i="52"/>
  <c r="F362" i="52"/>
  <c r="F365" i="52"/>
  <c r="F366" i="52"/>
  <c r="F367" i="52"/>
  <c r="F369" i="52"/>
  <c r="F370" i="52"/>
  <c r="F371" i="52"/>
  <c r="F372" i="52"/>
  <c r="F373" i="52"/>
  <c r="F374" i="52"/>
  <c r="F375" i="52"/>
  <c r="F376" i="52"/>
  <c r="F377" i="52"/>
  <c r="F378" i="52"/>
  <c r="F380" i="52"/>
  <c r="F381" i="52"/>
  <c r="F382" i="52"/>
  <c r="F233" i="52"/>
  <c r="F234" i="52"/>
  <c r="F235" i="52"/>
  <c r="F237" i="52"/>
  <c r="F238" i="52"/>
  <c r="F240" i="52"/>
  <c r="F241" i="52"/>
  <c r="E243" i="52"/>
  <c r="F243" i="52" s="1"/>
  <c r="F244" i="52"/>
  <c r="F245" i="52"/>
  <c r="F247" i="52"/>
  <c r="F248" i="52"/>
  <c r="F249" i="52"/>
  <c r="F251" i="52"/>
  <c r="F252" i="52"/>
  <c r="F254" i="52"/>
  <c r="F267" i="52"/>
  <c r="F268" i="52"/>
  <c r="F269" i="52"/>
  <c r="F271" i="52"/>
  <c r="F272" i="52"/>
  <c r="F274" i="52"/>
  <c r="F275" i="52"/>
  <c r="E277" i="52"/>
  <c r="F277" i="52" s="1"/>
  <c r="F278" i="52"/>
  <c r="F279" i="52"/>
  <c r="F281" i="52"/>
  <c r="F282" i="52"/>
  <c r="F283" i="52"/>
  <c r="F285" i="52"/>
  <c r="F286" i="52"/>
  <c r="F288" i="52"/>
  <c r="F300" i="52"/>
  <c r="F301" i="52"/>
  <c r="F302" i="52"/>
  <c r="F304" i="52"/>
  <c r="F305" i="52"/>
  <c r="F306" i="52"/>
  <c r="F307" i="52"/>
  <c r="F309" i="52"/>
  <c r="F311" i="52"/>
  <c r="F312" i="52"/>
  <c r="F313" i="52"/>
  <c r="F315" i="52"/>
  <c r="F316" i="52"/>
  <c r="F318" i="52"/>
  <c r="F319" i="52"/>
  <c r="F320" i="52"/>
  <c r="F322" i="52"/>
  <c r="F323" i="52"/>
  <c r="F324" i="52"/>
  <c r="F325" i="52"/>
  <c r="F326" i="52"/>
  <c r="F327" i="52"/>
  <c r="F328" i="52"/>
  <c r="F329" i="52"/>
  <c r="F330" i="52"/>
  <c r="F332" i="52"/>
  <c r="F333" i="52"/>
  <c r="F334" i="52"/>
  <c r="F335" i="52"/>
  <c r="F50" i="53" l="1"/>
  <c r="F51" i="53"/>
  <c r="F479" i="52"/>
  <c r="F428" i="52"/>
  <c r="F383" i="52"/>
  <c r="F336" i="52"/>
  <c r="F289" i="52"/>
  <c r="F255" i="52"/>
  <c r="F54" i="53" l="1"/>
  <c r="F384" i="52"/>
  <c r="F387" i="52" s="1"/>
  <c r="F388" i="52" s="1"/>
  <c r="F429" i="52"/>
  <c r="F432" i="52" s="1"/>
  <c r="F433" i="52" s="1"/>
  <c r="F256" i="52"/>
  <c r="F259" i="52" s="1"/>
  <c r="F260" i="52" s="1"/>
  <c r="F290" i="52"/>
  <c r="F480" i="52"/>
  <c r="F481" i="52" s="1"/>
  <c r="F337" i="52"/>
  <c r="F386" i="52" l="1"/>
  <c r="F385" i="52"/>
  <c r="F258" i="52"/>
  <c r="F431" i="52"/>
  <c r="F291" i="52"/>
  <c r="F292" i="52"/>
  <c r="F293" i="52"/>
  <c r="F294" i="52" s="1"/>
  <c r="F430" i="52"/>
  <c r="F257" i="52"/>
  <c r="F482" i="52"/>
  <c r="F483" i="52"/>
  <c r="F484" i="52" s="1"/>
  <c r="F338" i="52"/>
  <c r="F339" i="52"/>
  <c r="F340" i="52"/>
  <c r="F341" i="52" s="1"/>
  <c r="F389" i="52" l="1"/>
  <c r="F261" i="52"/>
  <c r="F434" i="52"/>
  <c r="F295" i="52"/>
  <c r="F485" i="52"/>
  <c r="F342" i="52"/>
  <c r="F200" i="52" l="1"/>
  <c r="F201" i="52"/>
  <c r="F203" i="52"/>
  <c r="F204" i="52"/>
  <c r="F206" i="52"/>
  <c r="F207" i="52"/>
  <c r="F210" i="52"/>
  <c r="F211" i="52"/>
  <c r="F213" i="52"/>
  <c r="F214" i="52"/>
  <c r="F215" i="52"/>
  <c r="F217" i="52"/>
  <c r="F218" i="52"/>
  <c r="F220" i="52"/>
  <c r="F199" i="52"/>
  <c r="E209" i="52"/>
  <c r="F209" i="52" s="1"/>
  <c r="F186" i="52"/>
  <c r="F184" i="52"/>
  <c r="F183" i="52"/>
  <c r="F181" i="52"/>
  <c r="F180" i="52"/>
  <c r="F179" i="52"/>
  <c r="F177" i="52"/>
  <c r="F176" i="52"/>
  <c r="F175" i="52"/>
  <c r="F173" i="52"/>
  <c r="F172" i="52"/>
  <c r="F170" i="52"/>
  <c r="F169" i="52"/>
  <c r="F167" i="52"/>
  <c r="F165" i="52"/>
  <c r="F187" i="52" l="1"/>
  <c r="F188" i="52" s="1"/>
  <c r="F191" i="52" s="1"/>
  <c r="F192" i="52" s="1"/>
  <c r="F221" i="52"/>
  <c r="F222" i="52" s="1"/>
  <c r="F225" i="52" s="1"/>
  <c r="F226" i="52" s="1"/>
  <c r="F189" i="52" l="1"/>
  <c r="F190" i="52"/>
  <c r="F223" i="52"/>
  <c r="F224" i="52"/>
  <c r="F41" i="51"/>
  <c r="F193" i="52" l="1"/>
  <c r="F227" i="52"/>
  <c r="F43" i="51"/>
  <c r="F42" i="51"/>
  <c r="F44" i="51"/>
  <c r="F45" i="51" s="1"/>
  <c r="F46" i="51" l="1"/>
  <c r="F152" i="52"/>
  <c r="F150" i="52"/>
  <c r="F149" i="52"/>
  <c r="F147" i="52"/>
  <c r="F146" i="52"/>
  <c r="F145" i="52"/>
  <c r="F143" i="52"/>
  <c r="F142" i="52"/>
  <c r="F141" i="52"/>
  <c r="F139" i="52"/>
  <c r="F138" i="52"/>
  <c r="F136" i="52"/>
  <c r="F135" i="52"/>
  <c r="F133" i="52"/>
  <c r="F134" i="52" s="1"/>
  <c r="F132" i="52"/>
  <c r="F131" i="52"/>
  <c r="F118" i="52"/>
  <c r="F116" i="52"/>
  <c r="F115" i="52"/>
  <c r="F113" i="52"/>
  <c r="F112" i="52"/>
  <c r="F111" i="52"/>
  <c r="F109" i="52"/>
  <c r="F108" i="52"/>
  <c r="F107" i="52"/>
  <c r="F105" i="52"/>
  <c r="F104" i="52"/>
  <c r="F102" i="52"/>
  <c r="F101" i="52"/>
  <c r="F99" i="52"/>
  <c r="F98" i="52"/>
  <c r="F97" i="52"/>
  <c r="F49" i="51" l="1"/>
  <c r="F153" i="52"/>
  <c r="F154" i="52" s="1"/>
  <c r="F119" i="52"/>
  <c r="F120" i="52" s="1"/>
  <c r="F123" i="52" s="1"/>
  <c r="F124" i="52" s="1"/>
  <c r="F122" i="52" l="1"/>
  <c r="F121" i="52"/>
  <c r="F157" i="52"/>
  <c r="F158" i="52" s="1"/>
  <c r="F155" i="52"/>
  <c r="F156" i="52"/>
  <c r="F84" i="52"/>
  <c r="F83" i="52"/>
  <c r="F82" i="52"/>
  <c r="F80" i="52"/>
  <c r="F79" i="52"/>
  <c r="F78" i="52"/>
  <c r="F77" i="52"/>
  <c r="F75" i="52"/>
  <c r="F74" i="52"/>
  <c r="F73" i="52"/>
  <c r="F71" i="52"/>
  <c r="F70" i="52"/>
  <c r="F68" i="52"/>
  <c r="F67" i="52"/>
  <c r="F65" i="52"/>
  <c r="F63" i="52"/>
  <c r="F62" i="52"/>
  <c r="F61" i="52"/>
  <c r="F60" i="52"/>
  <c r="F58" i="52"/>
  <c r="F57" i="52"/>
  <c r="F56" i="52"/>
  <c r="F42" i="52"/>
  <c r="F40" i="52"/>
  <c r="D38" i="52"/>
  <c r="F38" i="52" s="1"/>
  <c r="F41" i="52"/>
  <c r="F44" i="52"/>
  <c r="F43" i="52"/>
  <c r="F39" i="52"/>
  <c r="F37" i="52"/>
  <c r="F24" i="52"/>
  <c r="F23" i="52"/>
  <c r="F21" i="52"/>
  <c r="F20" i="52"/>
  <c r="F19" i="52"/>
  <c r="F18" i="52"/>
  <c r="F16" i="52"/>
  <c r="F14" i="52"/>
  <c r="F12" i="52"/>
  <c r="F10" i="52"/>
  <c r="F9" i="52"/>
  <c r="F8" i="52"/>
  <c r="F7" i="52"/>
  <c r="F25" i="52" l="1"/>
  <c r="F45" i="52"/>
  <c r="F85" i="52"/>
  <c r="F125" i="52"/>
  <c r="F685" i="52" s="1"/>
  <c r="F159" i="52"/>
  <c r="F26" i="52" l="1"/>
  <c r="F27" i="52" s="1"/>
  <c r="F46" i="52"/>
  <c r="F49" i="52" s="1"/>
  <c r="F50" i="52" s="1"/>
  <c r="F86" i="52"/>
  <c r="F89" i="52" s="1"/>
  <c r="F90" i="52" s="1"/>
  <c r="F29" i="52" l="1"/>
  <c r="F30" i="52" s="1"/>
  <c r="F28" i="52"/>
  <c r="F48" i="52"/>
  <c r="F47" i="52"/>
  <c r="F88" i="52"/>
  <c r="F87" i="52"/>
  <c r="F31" i="52" l="1"/>
  <c r="F51" i="52"/>
  <c r="F91" i="52"/>
  <c r="F293" i="50" l="1"/>
  <c r="F231" i="50"/>
  <c r="F265" i="50"/>
  <c r="F264" i="50"/>
  <c r="F263" i="50"/>
  <c r="F262" i="50"/>
  <c r="F261" i="50"/>
  <c r="F260" i="50"/>
  <c r="F259" i="50"/>
  <c r="F258" i="50"/>
  <c r="F257" i="50"/>
  <c r="F256" i="50"/>
  <c r="F255" i="50"/>
  <c r="F253" i="50"/>
  <c r="F252" i="50"/>
  <c r="F251" i="50"/>
  <c r="F249" i="50"/>
  <c r="F248" i="50"/>
  <c r="F246" i="50"/>
  <c r="F245" i="50"/>
  <c r="F243" i="50"/>
  <c r="F242" i="50"/>
  <c r="F240" i="50"/>
  <c r="F238" i="50"/>
  <c r="F237" i="50"/>
  <c r="F236" i="50"/>
  <c r="F234" i="50"/>
  <c r="F233" i="50"/>
  <c r="F232" i="50"/>
  <c r="F266" i="50" l="1"/>
  <c r="F296" i="50"/>
  <c r="F297" i="50" s="1"/>
  <c r="F295" i="50"/>
  <c r="F294" i="50"/>
  <c r="F298" i="50" l="1"/>
  <c r="F267" i="50"/>
  <c r="F268" i="50" s="1"/>
  <c r="F269" i="50" l="1"/>
  <c r="F270" i="50"/>
  <c r="F271" i="50" s="1"/>
  <c r="F272" i="50" l="1"/>
  <c r="F217" i="50"/>
  <c r="F216" i="50"/>
  <c r="F215" i="50"/>
  <c r="F213" i="50"/>
  <c r="F212" i="50"/>
  <c r="F211" i="50"/>
  <c r="F210" i="50"/>
  <c r="F209" i="50"/>
  <c r="F208" i="50"/>
  <c r="F207" i="50"/>
  <c r="F206" i="50"/>
  <c r="F205" i="50"/>
  <c r="D204" i="50"/>
  <c r="F204" i="50" s="1"/>
  <c r="F202" i="50"/>
  <c r="F201" i="50"/>
  <c r="F200" i="50"/>
  <c r="F198" i="50"/>
  <c r="F197" i="50"/>
  <c r="F195" i="50"/>
  <c r="F194" i="50"/>
  <c r="F193" i="50"/>
  <c r="F191" i="50"/>
  <c r="F189" i="50"/>
  <c r="F188" i="50"/>
  <c r="F187" i="50"/>
  <c r="F185" i="50"/>
  <c r="F184" i="50"/>
  <c r="F183" i="50"/>
  <c r="F219" i="50" l="1"/>
  <c r="F170" i="50"/>
  <c r="F169" i="50"/>
  <c r="F168" i="50"/>
  <c r="F167" i="50"/>
  <c r="F166" i="50"/>
  <c r="F165" i="50"/>
  <c r="F164" i="50"/>
  <c r="F163" i="50"/>
  <c r="F162" i="50"/>
  <c r="F161" i="50"/>
  <c r="F160" i="50"/>
  <c r="F159" i="50"/>
  <c r="F157" i="50"/>
  <c r="F156" i="50"/>
  <c r="F155" i="50"/>
  <c r="F154" i="50"/>
  <c r="F153" i="50"/>
  <c r="F152" i="50"/>
  <c r="F151" i="50"/>
  <c r="F150" i="50"/>
  <c r="F149" i="50"/>
  <c r="F148" i="50"/>
  <c r="F147" i="50"/>
  <c r="F146" i="50"/>
  <c r="F145" i="50"/>
  <c r="F144" i="50"/>
  <c r="F143" i="50"/>
  <c r="F142" i="50"/>
  <c r="D158" i="50"/>
  <c r="F158" i="50" s="1"/>
  <c r="F129" i="50"/>
  <c r="F128" i="50"/>
  <c r="F127" i="50"/>
  <c r="F126" i="50"/>
  <c r="F125" i="50"/>
  <c r="F124" i="50"/>
  <c r="F123" i="50"/>
  <c r="F122" i="50"/>
  <c r="F121" i="50"/>
  <c r="F120" i="50"/>
  <c r="F119" i="50"/>
  <c r="F118" i="50"/>
  <c r="F117" i="50"/>
  <c r="F116" i="50"/>
  <c r="F115" i="50"/>
  <c r="F114" i="50"/>
  <c r="F113" i="50"/>
  <c r="F112" i="50"/>
  <c r="F111" i="50"/>
  <c r="F110" i="50"/>
  <c r="F109" i="50"/>
  <c r="F108" i="50"/>
  <c r="F107" i="50"/>
  <c r="F94" i="50"/>
  <c r="F93" i="50"/>
  <c r="F92" i="50"/>
  <c r="F91" i="50"/>
  <c r="F90" i="50"/>
  <c r="F89" i="50"/>
  <c r="F88" i="50"/>
  <c r="F87" i="50"/>
  <c r="F86" i="50"/>
  <c r="F85" i="50"/>
  <c r="F84" i="50"/>
  <c r="F83" i="50"/>
  <c r="F82" i="50"/>
  <c r="F81" i="50"/>
  <c r="F80" i="50"/>
  <c r="F79" i="50"/>
  <c r="F78" i="50"/>
  <c r="F77" i="50"/>
  <c r="F76" i="50"/>
  <c r="F75" i="50"/>
  <c r="F74" i="50"/>
  <c r="F73" i="50"/>
  <c r="F72" i="50"/>
  <c r="F71" i="50"/>
  <c r="F70" i="50"/>
  <c r="F69" i="50"/>
  <c r="F68" i="50"/>
  <c r="F67" i="50"/>
  <c r="F66" i="50"/>
  <c r="F220" i="50" l="1"/>
  <c r="F222" i="50" s="1"/>
  <c r="F130" i="50"/>
  <c r="F171" i="50"/>
  <c r="F95" i="50"/>
  <c r="F223" i="50"/>
  <c r="F224" i="50" s="1"/>
  <c r="F221" i="50"/>
  <c r="F96" i="50" l="1"/>
  <c r="F99" i="50" s="1"/>
  <c r="F100" i="50" s="1"/>
  <c r="F131" i="50"/>
  <c r="F134" i="50" s="1"/>
  <c r="F135" i="50" s="1"/>
  <c r="F225" i="50"/>
  <c r="F172" i="50"/>
  <c r="F175" i="50" s="1"/>
  <c r="F176" i="50" s="1"/>
  <c r="F98" i="50" l="1"/>
  <c r="F97" i="50"/>
  <c r="F133" i="50"/>
  <c r="F132" i="50"/>
  <c r="F173" i="50"/>
  <c r="F174" i="50"/>
  <c r="F101" i="50" l="1"/>
  <c r="F136" i="50"/>
  <c r="F177" i="50"/>
  <c r="F22" i="50"/>
  <c r="F21" i="50"/>
  <c r="F20" i="50"/>
  <c r="F19" i="50"/>
  <c r="F18" i="50"/>
  <c r="F17" i="50"/>
  <c r="F16" i="50"/>
  <c r="F15" i="50"/>
  <c r="F14" i="50"/>
  <c r="F13" i="50"/>
  <c r="F12" i="50"/>
  <c r="F11" i="50"/>
  <c r="F301" i="50" l="1"/>
  <c r="F23" i="50"/>
  <c r="F24" i="50" s="1"/>
  <c r="F27" i="50" s="1"/>
  <c r="F28" i="50" s="1"/>
  <c r="F26" i="50" l="1"/>
  <c r="F25" i="50"/>
  <c r="F29" i="50" l="1"/>
  <c r="F122" i="47"/>
  <c r="F121" i="47"/>
  <c r="F120" i="47"/>
  <c r="F119" i="47"/>
  <c r="F118" i="47"/>
  <c r="F117" i="47"/>
  <c r="F116" i="47"/>
  <c r="F115" i="47"/>
  <c r="F114" i="47"/>
  <c r="F113" i="47"/>
  <c r="F112" i="47"/>
  <c r="F111" i="47"/>
  <c r="F110" i="47"/>
  <c r="F109" i="47"/>
  <c r="F108" i="47"/>
  <c r="F107" i="47"/>
  <c r="F106" i="47"/>
  <c r="F105" i="47"/>
  <c r="F104" i="47"/>
  <c r="F103" i="47"/>
  <c r="F102" i="47"/>
  <c r="F101" i="47"/>
  <c r="F100" i="47"/>
  <c r="F99" i="47"/>
  <c r="F98" i="47"/>
  <c r="F550" i="50" l="1"/>
  <c r="F125" i="47"/>
  <c r="E68" i="47"/>
  <c r="F126" i="47" l="1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E16" i="47"/>
  <c r="F16" i="47" s="1"/>
  <c r="F15" i="47"/>
  <c r="F14" i="47"/>
  <c r="F13" i="47"/>
  <c r="F12" i="47"/>
  <c r="F11" i="47"/>
  <c r="F10" i="47"/>
  <c r="F9" i="47"/>
  <c r="F86" i="47" l="1"/>
  <c r="F43" i="47"/>
  <c r="F129" i="47"/>
  <c r="F130" i="47" s="1"/>
  <c r="F127" i="47"/>
  <c r="F128" i="47"/>
  <c r="F87" i="47" l="1"/>
  <c r="F90" i="47" s="1"/>
  <c r="F91" i="47" s="1"/>
  <c r="F131" i="47"/>
  <c r="F44" i="47"/>
  <c r="F46" i="47" s="1"/>
  <c r="F134" i="47" l="1"/>
  <c r="F89" i="47"/>
  <c r="F88" i="47"/>
  <c r="F45" i="47"/>
  <c r="F47" i="47"/>
  <c r="F92" i="47" l="1"/>
  <c r="F48" i="47"/>
  <c r="F49" i="47" s="1"/>
  <c r="F231" i="48" l="1"/>
  <c r="F233" i="48"/>
  <c r="F234" i="48"/>
  <c r="F236" i="48"/>
  <c r="F237" i="48"/>
  <c r="F239" i="48"/>
  <c r="F240" i="48"/>
  <c r="F241" i="48"/>
  <c r="F242" i="48"/>
  <c r="F243" i="48"/>
  <c r="F244" i="48"/>
  <c r="F245" i="48"/>
  <c r="F246" i="48"/>
  <c r="F247" i="48"/>
  <c r="F248" i="48"/>
  <c r="F249" i="48"/>
  <c r="F230" i="48"/>
  <c r="F202" i="48"/>
  <c r="F203" i="48"/>
  <c r="F204" i="48"/>
  <c r="F205" i="48"/>
  <c r="F206" i="48"/>
  <c r="F207" i="48"/>
  <c r="F208" i="48"/>
  <c r="F209" i="48"/>
  <c r="F211" i="48"/>
  <c r="F212" i="48"/>
  <c r="F213" i="48"/>
  <c r="F214" i="48"/>
  <c r="F215" i="48"/>
  <c r="F216" i="48"/>
  <c r="F201" i="48"/>
  <c r="F162" i="48"/>
  <c r="F163" i="48"/>
  <c r="F164" i="48"/>
  <c r="F165" i="48"/>
  <c r="F166" i="48"/>
  <c r="F167" i="48"/>
  <c r="F168" i="48"/>
  <c r="F169" i="48"/>
  <c r="F170" i="48"/>
  <c r="F171" i="48"/>
  <c r="F172" i="48"/>
  <c r="F173" i="48"/>
  <c r="F174" i="48"/>
  <c r="F175" i="48"/>
  <c r="F176" i="48"/>
  <c r="F177" i="48"/>
  <c r="F178" i="48"/>
  <c r="F179" i="48"/>
  <c r="F180" i="48"/>
  <c r="F181" i="48"/>
  <c r="F182" i="48"/>
  <c r="F183" i="48"/>
  <c r="F184" i="48"/>
  <c r="F185" i="48"/>
  <c r="F186" i="48"/>
  <c r="F187" i="48"/>
  <c r="F161" i="48"/>
  <c r="D210" i="48"/>
  <c r="F210" i="48" s="1"/>
  <c r="F188" i="48" l="1"/>
  <c r="F189" i="48" s="1"/>
  <c r="F190" i="48" s="1"/>
  <c r="F250" i="48"/>
  <c r="F251" i="48" s="1"/>
  <c r="F253" i="48" s="1"/>
  <c r="F217" i="48"/>
  <c r="F218" i="48" l="1"/>
  <c r="F221" i="48" s="1"/>
  <c r="F222" i="48" s="1"/>
  <c r="F191" i="48"/>
  <c r="F192" i="48"/>
  <c r="F193" i="48" s="1"/>
  <c r="F254" i="48"/>
  <c r="F255" i="48" s="1"/>
  <c r="F252" i="48"/>
  <c r="F219" i="48" l="1"/>
  <c r="F220" i="48"/>
  <c r="F256" i="48"/>
  <c r="F194" i="48"/>
  <c r="F127" i="48"/>
  <c r="F128" i="48"/>
  <c r="F129" i="48"/>
  <c r="F130" i="48"/>
  <c r="F131" i="48"/>
  <c r="F132" i="48"/>
  <c r="F133" i="48"/>
  <c r="F134" i="48"/>
  <c r="F135" i="48"/>
  <c r="F136" i="48"/>
  <c r="F137" i="48"/>
  <c r="F138" i="48"/>
  <c r="F139" i="48"/>
  <c r="F140" i="48"/>
  <c r="F141" i="48"/>
  <c r="F142" i="48"/>
  <c r="F143" i="48"/>
  <c r="F144" i="48"/>
  <c r="F145" i="48"/>
  <c r="F146" i="48"/>
  <c r="F147" i="48"/>
  <c r="F148" i="48"/>
  <c r="F126" i="48"/>
  <c r="F114" i="48"/>
  <c r="F113" i="48"/>
  <c r="F112" i="48"/>
  <c r="F111" i="48"/>
  <c r="F110" i="48"/>
  <c r="F109" i="48"/>
  <c r="F108" i="48"/>
  <c r="F107" i="48"/>
  <c r="F106" i="48"/>
  <c r="F105" i="48"/>
  <c r="F101" i="48"/>
  <c r="F100" i="48"/>
  <c r="F99" i="48"/>
  <c r="F98" i="48"/>
  <c r="F97" i="48"/>
  <c r="F93" i="48"/>
  <c r="F92" i="48"/>
  <c r="F90" i="48"/>
  <c r="F89" i="48"/>
  <c r="F88" i="48"/>
  <c r="F87" i="48"/>
  <c r="F86" i="48"/>
  <c r="F85" i="48"/>
  <c r="F84" i="48"/>
  <c r="F83" i="48"/>
  <c r="F82" i="48"/>
  <c r="E104" i="48"/>
  <c r="F104" i="48" s="1"/>
  <c r="E103" i="48"/>
  <c r="F103" i="48" s="1"/>
  <c r="E102" i="48"/>
  <c r="F102" i="48" s="1"/>
  <c r="E96" i="48"/>
  <c r="F96" i="48" s="1"/>
  <c r="E95" i="48"/>
  <c r="F95" i="48" s="1"/>
  <c r="E94" i="48"/>
  <c r="D94" i="48"/>
  <c r="D91" i="48"/>
  <c r="F91" i="48" s="1"/>
  <c r="F149" i="48" l="1"/>
  <c r="F223" i="48"/>
  <c r="F94" i="48"/>
  <c r="F115" i="48" l="1"/>
  <c r="F116" i="48" s="1"/>
  <c r="F150" i="48"/>
  <c r="F118" i="48" l="1"/>
  <c r="F119" i="48"/>
  <c r="F120" i="48" s="1"/>
  <c r="F117" i="48"/>
  <c r="F153" i="48"/>
  <c r="F154" i="48" s="1"/>
  <c r="F151" i="48"/>
  <c r="F152" i="48"/>
  <c r="F51" i="48"/>
  <c r="F52" i="48"/>
  <c r="F54" i="48"/>
  <c r="F55" i="48"/>
  <c r="F56" i="48"/>
  <c r="F58" i="48"/>
  <c r="F59" i="48"/>
  <c r="F60" i="48"/>
  <c r="F61" i="48"/>
  <c r="F63" i="48"/>
  <c r="F64" i="48"/>
  <c r="F65" i="48"/>
  <c r="F67" i="48"/>
  <c r="F68" i="48"/>
  <c r="F70" i="48"/>
  <c r="F49" i="48"/>
  <c r="E57" i="48"/>
  <c r="F57" i="48" s="1"/>
  <c r="F121" i="48" l="1"/>
  <c r="F71" i="48"/>
  <c r="F155" i="48"/>
  <c r="F72" i="48" l="1"/>
  <c r="F9" i="48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29" i="48"/>
  <c r="F30" i="48"/>
  <c r="F31" i="48"/>
  <c r="F32" i="48"/>
  <c r="F33" i="48"/>
  <c r="F34" i="48"/>
  <c r="F35" i="48"/>
  <c r="F36" i="48"/>
  <c r="F8" i="48"/>
  <c r="F37" i="48" l="1"/>
  <c r="F74" i="48"/>
  <c r="F73" i="48"/>
  <c r="F75" i="48"/>
  <c r="F76" i="48" s="1"/>
  <c r="F38" i="48" l="1"/>
  <c r="F40" i="48" s="1"/>
  <c r="F77" i="48"/>
  <c r="F41" i="48" l="1"/>
  <c r="F42" i="48" s="1"/>
  <c r="F39" i="48"/>
  <c r="F426" i="47"/>
  <c r="F427" i="47"/>
  <c r="F428" i="47"/>
  <c r="F429" i="47"/>
  <c r="F430" i="47"/>
  <c r="F431" i="47"/>
  <c r="F432" i="47"/>
  <c r="F433" i="47"/>
  <c r="F434" i="47"/>
  <c r="F435" i="47"/>
  <c r="F425" i="47"/>
  <c r="F424" i="47"/>
  <c r="F423" i="47"/>
  <c r="F422" i="47"/>
  <c r="F421" i="47"/>
  <c r="F420" i="47"/>
  <c r="F419" i="47"/>
  <c r="F418" i="47"/>
  <c r="F417" i="47"/>
  <c r="F416" i="47"/>
  <c r="F415" i="47"/>
  <c r="F414" i="47"/>
  <c r="F401" i="47"/>
  <c r="F400" i="47"/>
  <c r="F399" i="47"/>
  <c r="F398" i="47"/>
  <c r="F397" i="47"/>
  <c r="F396" i="47"/>
  <c r="F395" i="47"/>
  <c r="F394" i="47"/>
  <c r="F393" i="47"/>
  <c r="F392" i="47"/>
  <c r="F391" i="47"/>
  <c r="F390" i="47"/>
  <c r="F389" i="47"/>
  <c r="F388" i="47"/>
  <c r="F387" i="47"/>
  <c r="F386" i="47"/>
  <c r="F385" i="47"/>
  <c r="F384" i="47"/>
  <c r="F383" i="47"/>
  <c r="F382" i="47"/>
  <c r="F381" i="47"/>
  <c r="F380" i="47"/>
  <c r="F379" i="47"/>
  <c r="F378" i="47"/>
  <c r="F377" i="47"/>
  <c r="F376" i="47"/>
  <c r="F375" i="47"/>
  <c r="F374" i="47"/>
  <c r="F373" i="47"/>
  <c r="F337" i="47"/>
  <c r="F338" i="47"/>
  <c r="F339" i="47"/>
  <c r="F340" i="47"/>
  <c r="F341" i="47"/>
  <c r="F342" i="47"/>
  <c r="F343" i="47"/>
  <c r="F344" i="47"/>
  <c r="F345" i="47"/>
  <c r="F346" i="47"/>
  <c r="F347" i="47"/>
  <c r="F348" i="47"/>
  <c r="F349" i="47"/>
  <c r="F350" i="47"/>
  <c r="F351" i="47"/>
  <c r="F352" i="47"/>
  <c r="F353" i="47"/>
  <c r="F354" i="47"/>
  <c r="F355" i="47"/>
  <c r="F356" i="47"/>
  <c r="F357" i="47"/>
  <c r="F358" i="47"/>
  <c r="F359" i="47"/>
  <c r="F360" i="47"/>
  <c r="F336" i="47"/>
  <c r="F295" i="47"/>
  <c r="F296" i="47"/>
  <c r="F297" i="47"/>
  <c r="F298" i="47"/>
  <c r="F299" i="47"/>
  <c r="F300" i="47"/>
  <c r="F301" i="47"/>
  <c r="F302" i="47"/>
  <c r="F303" i="47"/>
  <c r="F304" i="47"/>
  <c r="F305" i="47"/>
  <c r="F306" i="47"/>
  <c r="F307" i="47"/>
  <c r="F308" i="47"/>
  <c r="F309" i="47"/>
  <c r="F310" i="47"/>
  <c r="F311" i="47"/>
  <c r="F312" i="47"/>
  <c r="F313" i="47"/>
  <c r="F314" i="47"/>
  <c r="F315" i="47"/>
  <c r="F316" i="47"/>
  <c r="F317" i="47"/>
  <c r="F318" i="47"/>
  <c r="F319" i="47"/>
  <c r="F320" i="47"/>
  <c r="F321" i="47"/>
  <c r="F322" i="47"/>
  <c r="F294" i="47"/>
  <c r="F438" i="47" l="1"/>
  <c r="F402" i="47"/>
  <c r="F323" i="47"/>
  <c r="F43" i="48"/>
  <c r="F361" i="47"/>
  <c r="F362" i="47" s="1"/>
  <c r="F364" i="47" s="1"/>
  <c r="F324" i="47"/>
  <c r="F325" i="47" s="1"/>
  <c r="F403" i="47" l="1"/>
  <c r="F404" i="47" s="1"/>
  <c r="F326" i="47"/>
  <c r="F327" i="47"/>
  <c r="F328" i="47" s="1"/>
  <c r="F363" i="47"/>
  <c r="F439" i="47"/>
  <c r="F442" i="47" s="1"/>
  <c r="F443" i="47" s="1"/>
  <c r="F365" i="47"/>
  <c r="F366" i="47" s="1"/>
  <c r="F405" i="47" l="1"/>
  <c r="F406" i="47"/>
  <c r="F407" i="47" s="1"/>
  <c r="F408" i="47" s="1"/>
  <c r="F329" i="47"/>
  <c r="F440" i="47"/>
  <c r="F367" i="47"/>
  <c r="F441" i="47"/>
  <c r="F444" i="47" l="1"/>
  <c r="F142" i="47" l="1"/>
  <c r="F216" i="47"/>
  <c r="F215" i="47"/>
  <c r="F214" i="47"/>
  <c r="F213" i="47"/>
  <c r="F212" i="47"/>
  <c r="F211" i="47"/>
  <c r="F210" i="47"/>
  <c r="F209" i="47"/>
  <c r="F208" i="47"/>
  <c r="F207" i="47"/>
  <c r="F206" i="47"/>
  <c r="F205" i="47"/>
  <c r="F204" i="47"/>
  <c r="F203" i="47"/>
  <c r="F202" i="47"/>
  <c r="F201" i="47"/>
  <c r="F200" i="47"/>
  <c r="F199" i="47"/>
  <c r="F198" i="47"/>
  <c r="F197" i="47"/>
  <c r="F196" i="47"/>
  <c r="F195" i="47"/>
  <c r="F194" i="47"/>
  <c r="F193" i="47"/>
  <c r="F192" i="47"/>
  <c r="F191" i="47"/>
  <c r="F190" i="47"/>
  <c r="F188" i="47"/>
  <c r="F187" i="47"/>
  <c r="F186" i="47"/>
  <c r="F185" i="47"/>
  <c r="F184" i="47"/>
  <c r="F182" i="47"/>
  <c r="F181" i="47"/>
  <c r="F180" i="47"/>
  <c r="F179" i="47"/>
  <c r="F178" i="47"/>
  <c r="F175" i="47"/>
  <c r="F174" i="47"/>
  <c r="F173" i="47"/>
  <c r="F172" i="47"/>
  <c r="F171" i="47"/>
  <c r="F169" i="47"/>
  <c r="F168" i="47"/>
  <c r="F167" i="47"/>
  <c r="F166" i="47"/>
  <c r="F165" i="47"/>
  <c r="F164" i="47"/>
  <c r="F163" i="47"/>
  <c r="F161" i="47"/>
  <c r="F160" i="47"/>
  <c r="F159" i="47"/>
  <c r="F158" i="47"/>
  <c r="F157" i="47"/>
  <c r="F156" i="47"/>
  <c r="F155" i="47"/>
  <c r="F154" i="47"/>
  <c r="F152" i="47"/>
  <c r="F151" i="47"/>
  <c r="F150" i="47"/>
  <c r="F148" i="47"/>
  <c r="F147" i="47"/>
  <c r="F146" i="47"/>
  <c r="F145" i="47"/>
  <c r="F144" i="47"/>
  <c r="D170" i="47" l="1"/>
  <c r="D176" i="47" l="1"/>
  <c r="F176" i="47" s="1"/>
  <c r="F170" i="47"/>
  <c r="F217" i="47" s="1"/>
  <c r="F218" i="47" l="1"/>
  <c r="F220" i="47" l="1"/>
  <c r="F219" i="47"/>
  <c r="F221" i="47"/>
  <c r="F222" i="47" s="1"/>
  <c r="F734" i="46"/>
  <c r="F733" i="46"/>
  <c r="F732" i="46"/>
  <c r="F731" i="46"/>
  <c r="F730" i="46"/>
  <c r="F729" i="46"/>
  <c r="F728" i="46"/>
  <c r="F727" i="46"/>
  <c r="F726" i="46"/>
  <c r="F725" i="46"/>
  <c r="F724" i="46"/>
  <c r="F723" i="46"/>
  <c r="F722" i="46"/>
  <c r="F721" i="46"/>
  <c r="F720" i="46"/>
  <c r="F719" i="46"/>
  <c r="F718" i="46"/>
  <c r="F717" i="46"/>
  <c r="F716" i="46"/>
  <c r="F715" i="46"/>
  <c r="F682" i="46"/>
  <c r="F683" i="46"/>
  <c r="F684" i="46"/>
  <c r="F685" i="46"/>
  <c r="F686" i="46"/>
  <c r="F687" i="46"/>
  <c r="F688" i="46"/>
  <c r="F689" i="46"/>
  <c r="F690" i="46"/>
  <c r="F691" i="46"/>
  <c r="F692" i="46"/>
  <c r="F693" i="46"/>
  <c r="F694" i="46"/>
  <c r="F695" i="46"/>
  <c r="F696" i="46"/>
  <c r="F697" i="46"/>
  <c r="F698" i="46"/>
  <c r="F699" i="46"/>
  <c r="F700" i="46"/>
  <c r="F701" i="46"/>
  <c r="F702" i="46"/>
  <c r="F681" i="46"/>
  <c r="F646" i="46"/>
  <c r="F647" i="46"/>
  <c r="F648" i="46"/>
  <c r="F649" i="46"/>
  <c r="F650" i="46"/>
  <c r="F651" i="46"/>
  <c r="F652" i="46"/>
  <c r="F653" i="46"/>
  <c r="F654" i="46"/>
  <c r="F655" i="46"/>
  <c r="F656" i="46"/>
  <c r="F657" i="46"/>
  <c r="F658" i="46"/>
  <c r="F659" i="46"/>
  <c r="F660" i="46"/>
  <c r="F661" i="46"/>
  <c r="F662" i="46"/>
  <c r="F663" i="46"/>
  <c r="F664" i="46"/>
  <c r="F665" i="46"/>
  <c r="F666" i="46"/>
  <c r="F667" i="46"/>
  <c r="F668" i="46"/>
  <c r="F669" i="46" s="1"/>
  <c r="F645" i="46"/>
  <c r="F610" i="46"/>
  <c r="F611" i="46"/>
  <c r="F612" i="46"/>
  <c r="F613" i="46"/>
  <c r="F614" i="46"/>
  <c r="F615" i="46"/>
  <c r="F616" i="46"/>
  <c r="F617" i="46"/>
  <c r="F618" i="46"/>
  <c r="F619" i="46"/>
  <c r="F620" i="46"/>
  <c r="F621" i="46"/>
  <c r="F622" i="46"/>
  <c r="F623" i="46"/>
  <c r="F624" i="46"/>
  <c r="F625" i="46"/>
  <c r="F626" i="46"/>
  <c r="F627" i="46"/>
  <c r="F628" i="46"/>
  <c r="F629" i="46"/>
  <c r="F630" i="46"/>
  <c r="F631" i="46"/>
  <c r="F632" i="46"/>
  <c r="F609" i="46"/>
  <c r="F574" i="46"/>
  <c r="F575" i="46"/>
  <c r="F576" i="46"/>
  <c r="F577" i="46"/>
  <c r="F578" i="46"/>
  <c r="F579" i="46"/>
  <c r="F580" i="46"/>
  <c r="F581" i="46"/>
  <c r="F582" i="46"/>
  <c r="F583" i="46"/>
  <c r="F584" i="46"/>
  <c r="F585" i="46"/>
  <c r="F586" i="46"/>
  <c r="F587" i="46"/>
  <c r="F588" i="46"/>
  <c r="F589" i="46"/>
  <c r="F590" i="46"/>
  <c r="F591" i="46"/>
  <c r="F592" i="46"/>
  <c r="F593" i="46"/>
  <c r="F594" i="46"/>
  <c r="F595" i="46"/>
  <c r="F596" i="46"/>
  <c r="F573" i="46"/>
  <c r="F552" i="46"/>
  <c r="F553" i="46"/>
  <c r="F554" i="46"/>
  <c r="F555" i="46"/>
  <c r="F556" i="46"/>
  <c r="F557" i="46"/>
  <c r="F558" i="46"/>
  <c r="F559" i="46"/>
  <c r="F560" i="46"/>
  <c r="F540" i="46"/>
  <c r="F541" i="46"/>
  <c r="F542" i="46"/>
  <c r="F543" i="46"/>
  <c r="F544" i="46"/>
  <c r="F545" i="46"/>
  <c r="F546" i="46"/>
  <c r="F547" i="46"/>
  <c r="F548" i="46"/>
  <c r="F549" i="46"/>
  <c r="F550" i="46"/>
  <c r="F551" i="46"/>
  <c r="F539" i="46"/>
  <c r="F500" i="46"/>
  <c r="F501" i="46"/>
  <c r="F502" i="46"/>
  <c r="F503" i="46"/>
  <c r="F504" i="46"/>
  <c r="F505" i="46"/>
  <c r="F506" i="46"/>
  <c r="F507" i="46"/>
  <c r="F508" i="46"/>
  <c r="F509" i="46"/>
  <c r="F510" i="46"/>
  <c r="F511" i="46"/>
  <c r="F512" i="46"/>
  <c r="F513" i="46"/>
  <c r="F514" i="46"/>
  <c r="F515" i="46"/>
  <c r="F516" i="46"/>
  <c r="F517" i="46"/>
  <c r="F518" i="46"/>
  <c r="F519" i="46"/>
  <c r="F520" i="46"/>
  <c r="F521" i="46"/>
  <c r="F522" i="46"/>
  <c r="F523" i="46"/>
  <c r="F524" i="46"/>
  <c r="F525" i="46"/>
  <c r="F526" i="46"/>
  <c r="F499" i="46"/>
  <c r="F464" i="46"/>
  <c r="F465" i="46"/>
  <c r="F466" i="46"/>
  <c r="F467" i="46"/>
  <c r="F468" i="46"/>
  <c r="F469" i="46"/>
  <c r="F470" i="46"/>
  <c r="F471" i="46"/>
  <c r="F472" i="46"/>
  <c r="F473" i="46"/>
  <c r="F474" i="46"/>
  <c r="F475" i="46"/>
  <c r="F476" i="46"/>
  <c r="F477" i="46"/>
  <c r="F478" i="46"/>
  <c r="F479" i="46"/>
  <c r="F480" i="46"/>
  <c r="F481" i="46"/>
  <c r="F482" i="46"/>
  <c r="F483" i="46"/>
  <c r="F484" i="46"/>
  <c r="F485" i="46"/>
  <c r="F486" i="46"/>
  <c r="F487" i="46" s="1"/>
  <c r="F463" i="46"/>
  <c r="F430" i="46"/>
  <c r="F431" i="46"/>
  <c r="F432" i="46"/>
  <c r="F433" i="46"/>
  <c r="F434" i="46"/>
  <c r="F435" i="46"/>
  <c r="F436" i="46"/>
  <c r="F437" i="46"/>
  <c r="F438" i="46"/>
  <c r="F439" i="46"/>
  <c r="F440" i="46"/>
  <c r="F441" i="46"/>
  <c r="F442" i="46"/>
  <c r="F443" i="46"/>
  <c r="F444" i="46"/>
  <c r="F445" i="46"/>
  <c r="F446" i="46"/>
  <c r="F447" i="46"/>
  <c r="F448" i="46"/>
  <c r="F449" i="46"/>
  <c r="F450" i="46"/>
  <c r="F429" i="46"/>
  <c r="F412" i="46"/>
  <c r="F413" i="46"/>
  <c r="F414" i="46"/>
  <c r="F415" i="46"/>
  <c r="F416" i="46"/>
  <c r="F403" i="46"/>
  <c r="F404" i="46"/>
  <c r="F405" i="46"/>
  <c r="F406" i="46"/>
  <c r="F407" i="46"/>
  <c r="F408" i="46"/>
  <c r="F409" i="46"/>
  <c r="F410" i="46"/>
  <c r="F411" i="46"/>
  <c r="F396" i="46"/>
  <c r="F397" i="46"/>
  <c r="F398" i="46"/>
  <c r="F399" i="46"/>
  <c r="F400" i="46"/>
  <c r="F401" i="46"/>
  <c r="F402" i="46"/>
  <c r="F394" i="46"/>
  <c r="F395" i="46"/>
  <c r="F388" i="46"/>
  <c r="F389" i="46"/>
  <c r="F390" i="46"/>
  <c r="F391" i="46"/>
  <c r="F392" i="46"/>
  <c r="F393" i="46"/>
  <c r="F387" i="46"/>
  <c r="F347" i="46"/>
  <c r="F348" i="46"/>
  <c r="F349" i="46"/>
  <c r="F350" i="46"/>
  <c r="F351" i="46"/>
  <c r="F352" i="46"/>
  <c r="F353" i="46"/>
  <c r="F354" i="46"/>
  <c r="F355" i="46"/>
  <c r="F356" i="46"/>
  <c r="F357" i="46"/>
  <c r="F358" i="46"/>
  <c r="F359" i="46"/>
  <c r="F360" i="46"/>
  <c r="F361" i="46"/>
  <c r="F362" i="46"/>
  <c r="F363" i="46"/>
  <c r="F364" i="46"/>
  <c r="F365" i="46"/>
  <c r="F366" i="46"/>
  <c r="F367" i="46"/>
  <c r="F368" i="46"/>
  <c r="F369" i="46"/>
  <c r="F370" i="46"/>
  <c r="F371" i="46"/>
  <c r="F372" i="46"/>
  <c r="F373" i="46"/>
  <c r="F374" i="46"/>
  <c r="F346" i="46"/>
  <c r="F305" i="46"/>
  <c r="F306" i="46"/>
  <c r="F307" i="46"/>
  <c r="F308" i="46"/>
  <c r="F309" i="46"/>
  <c r="F310" i="46"/>
  <c r="F311" i="46"/>
  <c r="F312" i="46"/>
  <c r="F313" i="46"/>
  <c r="F314" i="46"/>
  <c r="F315" i="46"/>
  <c r="F316" i="46"/>
  <c r="F317" i="46"/>
  <c r="F318" i="46"/>
  <c r="F319" i="46"/>
  <c r="F320" i="46"/>
  <c r="F322" i="46"/>
  <c r="F323" i="46"/>
  <c r="F324" i="46"/>
  <c r="F325" i="46"/>
  <c r="F326" i="46"/>
  <c r="F327" i="46"/>
  <c r="F328" i="46"/>
  <c r="F329" i="46"/>
  <c r="F330" i="46"/>
  <c r="F331" i="46"/>
  <c r="F333" i="46"/>
  <c r="F334" i="46" s="1"/>
  <c r="F304" i="46"/>
  <c r="E321" i="46"/>
  <c r="F321" i="46" s="1"/>
  <c r="F257" i="46"/>
  <c r="F258" i="46"/>
  <c r="F259" i="46"/>
  <c r="F260" i="46"/>
  <c r="F261" i="46"/>
  <c r="F262" i="46"/>
  <c r="F263" i="46"/>
  <c r="F264" i="46"/>
  <c r="F265" i="46"/>
  <c r="F266" i="46"/>
  <c r="F267" i="46"/>
  <c r="F270" i="46"/>
  <c r="F271" i="46"/>
  <c r="F272" i="46"/>
  <c r="F273" i="46"/>
  <c r="F274" i="46"/>
  <c r="F275" i="46"/>
  <c r="F276" i="46"/>
  <c r="F277" i="46"/>
  <c r="F278" i="46"/>
  <c r="F279" i="46"/>
  <c r="F280" i="46"/>
  <c r="F281" i="46"/>
  <c r="F282" i="46"/>
  <c r="F283" i="46"/>
  <c r="F284" i="46"/>
  <c r="F285" i="46"/>
  <c r="F286" i="46"/>
  <c r="F287" i="46"/>
  <c r="F288" i="46"/>
  <c r="F289" i="46"/>
  <c r="F290" i="46"/>
  <c r="F291" i="46"/>
  <c r="F292" i="46" s="1"/>
  <c r="F256" i="46"/>
  <c r="E269" i="46"/>
  <c r="F269" i="46" s="1"/>
  <c r="E268" i="46"/>
  <c r="F268" i="46" s="1"/>
  <c r="F215" i="46"/>
  <c r="F216" i="46"/>
  <c r="F217" i="46"/>
  <c r="F218" i="46"/>
  <c r="F219" i="46"/>
  <c r="F220" i="46"/>
  <c r="F221" i="46"/>
  <c r="F222" i="46"/>
  <c r="F223" i="46"/>
  <c r="F224" i="46"/>
  <c r="F225" i="46"/>
  <c r="F226" i="46"/>
  <c r="F227" i="46"/>
  <c r="F228" i="46"/>
  <c r="F229" i="46"/>
  <c r="F230" i="46"/>
  <c r="F231" i="46"/>
  <c r="F232" i="46"/>
  <c r="F233" i="46"/>
  <c r="F234" i="46"/>
  <c r="F235" i="46"/>
  <c r="F236" i="46"/>
  <c r="F237" i="46"/>
  <c r="F238" i="46"/>
  <c r="F239" i="46"/>
  <c r="F240" i="46"/>
  <c r="F241" i="46"/>
  <c r="F242" i="46"/>
  <c r="F243" i="46" s="1"/>
  <c r="F214" i="46"/>
  <c r="F451" i="46" l="1"/>
  <c r="F597" i="46"/>
  <c r="F598" i="46" s="1"/>
  <c r="F599" i="46" s="1"/>
  <c r="F737" i="46"/>
  <c r="F417" i="46"/>
  <c r="F527" i="46"/>
  <c r="F561" i="46"/>
  <c r="F633" i="46"/>
  <c r="F375" i="46"/>
  <c r="F703" i="46"/>
  <c r="F488" i="46"/>
  <c r="F452" i="46"/>
  <c r="F453" i="46" s="1"/>
  <c r="F244" i="46"/>
  <c r="F245" i="46" s="1"/>
  <c r="F738" i="46"/>
  <c r="F562" i="46"/>
  <c r="F376" i="46"/>
  <c r="F377" i="46" s="1"/>
  <c r="F223" i="47"/>
  <c r="F285" i="47" s="1"/>
  <c r="F560" i="47" l="1"/>
  <c r="F528" i="46"/>
  <c r="F530" i="46" s="1"/>
  <c r="F704" i="46"/>
  <c r="F705" i="46" s="1"/>
  <c r="F490" i="46"/>
  <c r="F489" i="46"/>
  <c r="F247" i="46"/>
  <c r="F248" i="46" s="1"/>
  <c r="F531" i="46"/>
  <c r="F532" i="46" s="1"/>
  <c r="F670" i="46"/>
  <c r="F672" i="46" s="1"/>
  <c r="F246" i="46"/>
  <c r="F529" i="46"/>
  <c r="F418" i="46"/>
  <c r="F419" i="46" s="1"/>
  <c r="F335" i="46"/>
  <c r="F338" i="46" s="1"/>
  <c r="F339" i="46" s="1"/>
  <c r="F741" i="46"/>
  <c r="F742" i="46" s="1"/>
  <c r="F739" i="46"/>
  <c r="F740" i="46"/>
  <c r="F634" i="46"/>
  <c r="F379" i="46"/>
  <c r="F380" i="46" s="1"/>
  <c r="F491" i="46"/>
  <c r="F492" i="46" s="1"/>
  <c r="F378" i="46"/>
  <c r="F600" i="46"/>
  <c r="F601" i="46"/>
  <c r="F602" i="46" s="1"/>
  <c r="F565" i="46"/>
  <c r="F566" i="46" s="1"/>
  <c r="F563" i="46"/>
  <c r="F564" i="46"/>
  <c r="F455" i="46"/>
  <c r="F456" i="46" s="1"/>
  <c r="F454" i="46"/>
  <c r="F797" i="47"/>
  <c r="F293" i="46"/>
  <c r="F706" i="46" l="1"/>
  <c r="F707" i="46"/>
  <c r="F708" i="46" s="1"/>
  <c r="F420" i="46"/>
  <c r="F533" i="46"/>
  <c r="F337" i="46"/>
  <c r="F249" i="46"/>
  <c r="F603" i="46"/>
  <c r="F421" i="46"/>
  <c r="F422" i="46" s="1"/>
  <c r="F671" i="46"/>
  <c r="F673" i="46"/>
  <c r="F674" i="46" s="1"/>
  <c r="F336" i="46"/>
  <c r="F743" i="46"/>
  <c r="F381" i="46"/>
  <c r="F493" i="46"/>
  <c r="F637" i="46"/>
  <c r="F638" i="46" s="1"/>
  <c r="F635" i="46"/>
  <c r="F636" i="46"/>
  <c r="F567" i="46"/>
  <c r="F457" i="46"/>
  <c r="F296" i="46"/>
  <c r="F297" i="46" s="1"/>
  <c r="F294" i="46"/>
  <c r="F295" i="46"/>
  <c r="F173" i="46"/>
  <c r="F174" i="46"/>
  <c r="F175" i="46"/>
  <c r="F176" i="46"/>
  <c r="F177" i="46"/>
  <c r="F178" i="46"/>
  <c r="F179" i="46"/>
  <c r="F180" i="46"/>
  <c r="F181" i="46"/>
  <c r="F182" i="46"/>
  <c r="F183" i="46"/>
  <c r="F184" i="46"/>
  <c r="F185" i="46"/>
  <c r="F186" i="46"/>
  <c r="F187" i="46"/>
  <c r="F188" i="46"/>
  <c r="F189" i="46"/>
  <c r="F190" i="46"/>
  <c r="F191" i="46"/>
  <c r="F192" i="46"/>
  <c r="F193" i="46"/>
  <c r="F194" i="46"/>
  <c r="F195" i="46"/>
  <c r="F196" i="46"/>
  <c r="F197" i="46"/>
  <c r="F198" i="46"/>
  <c r="F199" i="46"/>
  <c r="F200" i="46"/>
  <c r="F201" i="46"/>
  <c r="F172" i="46"/>
  <c r="F132" i="46"/>
  <c r="F133" i="46"/>
  <c r="F134" i="46"/>
  <c r="F135" i="46"/>
  <c r="F136" i="46"/>
  <c r="F137" i="46"/>
  <c r="F138" i="46"/>
  <c r="F139" i="46"/>
  <c r="F140" i="46"/>
  <c r="F141" i="46"/>
  <c r="F142" i="46"/>
  <c r="F143" i="46"/>
  <c r="F144" i="46"/>
  <c r="F145" i="46"/>
  <c r="F146" i="46"/>
  <c r="F147" i="46"/>
  <c r="F148" i="46"/>
  <c r="F149" i="46"/>
  <c r="F150" i="46"/>
  <c r="F151" i="46"/>
  <c r="F152" i="46"/>
  <c r="F153" i="46"/>
  <c r="F154" i="46"/>
  <c r="F155" i="46"/>
  <c r="F156" i="46"/>
  <c r="F157" i="46"/>
  <c r="F158" i="46"/>
  <c r="F159" i="46"/>
  <c r="F131" i="46"/>
  <c r="F91" i="46"/>
  <c r="F92" i="46"/>
  <c r="F93" i="46"/>
  <c r="F94" i="46"/>
  <c r="F95" i="46"/>
  <c r="F96" i="46"/>
  <c r="F97" i="46"/>
  <c r="F98" i="46"/>
  <c r="F99" i="46"/>
  <c r="F100" i="46"/>
  <c r="F101" i="46"/>
  <c r="F102" i="46"/>
  <c r="F103" i="46"/>
  <c r="F104" i="46"/>
  <c r="F105" i="46"/>
  <c r="F106" i="46"/>
  <c r="F107" i="46"/>
  <c r="F108" i="46"/>
  <c r="F109" i="46"/>
  <c r="F110" i="46"/>
  <c r="F111" i="46"/>
  <c r="F112" i="46"/>
  <c r="F113" i="46"/>
  <c r="F114" i="46"/>
  <c r="F115" i="46"/>
  <c r="F116" i="46"/>
  <c r="F117" i="46"/>
  <c r="F118" i="46"/>
  <c r="F90" i="46"/>
  <c r="F50" i="46"/>
  <c r="F51" i="46"/>
  <c r="F52" i="46"/>
  <c r="F53" i="46"/>
  <c r="F54" i="46"/>
  <c r="F55" i="46"/>
  <c r="F56" i="46"/>
  <c r="F57" i="46"/>
  <c r="F58" i="46"/>
  <c r="F59" i="46"/>
  <c r="F60" i="46"/>
  <c r="F61" i="46"/>
  <c r="F62" i="46"/>
  <c r="F63" i="46"/>
  <c r="F64" i="46"/>
  <c r="F65" i="46"/>
  <c r="F66" i="46"/>
  <c r="F67" i="46"/>
  <c r="F68" i="46"/>
  <c r="F69" i="46"/>
  <c r="F70" i="46"/>
  <c r="F71" i="46"/>
  <c r="F72" i="46"/>
  <c r="F73" i="46"/>
  <c r="F74" i="46"/>
  <c r="F75" i="46"/>
  <c r="F76" i="46"/>
  <c r="F77" i="46"/>
  <c r="F78" i="46" s="1"/>
  <c r="F49" i="46"/>
  <c r="F9" i="46"/>
  <c r="F10" i="46"/>
  <c r="F11" i="46"/>
  <c r="F13" i="46"/>
  <c r="F14" i="46"/>
  <c r="F16" i="46"/>
  <c r="F17" i="46"/>
  <c r="F18" i="46"/>
  <c r="F20" i="46"/>
  <c r="F21" i="46"/>
  <c r="F22" i="46"/>
  <c r="F23" i="46"/>
  <c r="F24" i="46"/>
  <c r="F25" i="46"/>
  <c r="F26" i="46"/>
  <c r="F27" i="46"/>
  <c r="F28" i="46"/>
  <c r="F29" i="46"/>
  <c r="F30" i="46"/>
  <c r="F31" i="46"/>
  <c r="F33" i="46"/>
  <c r="F34" i="46"/>
  <c r="F36" i="46"/>
  <c r="F8" i="46"/>
  <c r="F160" i="46" l="1"/>
  <c r="F37" i="46"/>
  <c r="F119" i="46"/>
  <c r="F202" i="46"/>
  <c r="F709" i="46"/>
  <c r="F340" i="46"/>
  <c r="F423" i="46"/>
  <c r="F203" i="46"/>
  <c r="F205" i="46" s="1"/>
  <c r="F675" i="46"/>
  <c r="F161" i="46"/>
  <c r="F162" i="46" s="1"/>
  <c r="F639" i="46"/>
  <c r="F79" i="46"/>
  <c r="F298" i="46"/>
  <c r="F120" i="46" l="1"/>
  <c r="F123" i="46" s="1"/>
  <c r="F124" i="46" s="1"/>
  <c r="F82" i="46"/>
  <c r="F83" i="46" s="1"/>
  <c r="F81" i="46"/>
  <c r="F206" i="46"/>
  <c r="F207" i="46" s="1"/>
  <c r="F38" i="46"/>
  <c r="F204" i="46"/>
  <c r="F164" i="46"/>
  <c r="F165" i="46" s="1"/>
  <c r="F163" i="46"/>
  <c r="F80" i="46"/>
  <c r="F277" i="45"/>
  <c r="F276" i="45"/>
  <c r="F275" i="45"/>
  <c r="F274" i="45"/>
  <c r="F273" i="45"/>
  <c r="F272" i="45"/>
  <c r="F271" i="45"/>
  <c r="F270" i="45"/>
  <c r="F269" i="45"/>
  <c r="F268" i="45"/>
  <c r="F267" i="45"/>
  <c r="F266" i="45"/>
  <c r="F265" i="45"/>
  <c r="F262" i="45"/>
  <c r="F261" i="45"/>
  <c r="F260" i="45"/>
  <c r="F259" i="45"/>
  <c r="F258" i="45"/>
  <c r="F257" i="45"/>
  <c r="F256" i="45"/>
  <c r="F255" i="45"/>
  <c r="F254" i="45"/>
  <c r="E264" i="45"/>
  <c r="F264" i="45" s="1"/>
  <c r="E263" i="45"/>
  <c r="F263" i="45" s="1"/>
  <c r="F220" i="45"/>
  <c r="F221" i="45"/>
  <c r="F222" i="45"/>
  <c r="F223" i="45"/>
  <c r="F224" i="45"/>
  <c r="F225" i="45"/>
  <c r="F226" i="45"/>
  <c r="F227" i="45"/>
  <c r="F229" i="45"/>
  <c r="F230" i="45"/>
  <c r="F231" i="45"/>
  <c r="F232" i="45"/>
  <c r="F233" i="45"/>
  <c r="F234" i="45"/>
  <c r="F235" i="45"/>
  <c r="F236" i="45"/>
  <c r="F237" i="45"/>
  <c r="F238" i="45"/>
  <c r="F239" i="45"/>
  <c r="F240" i="45"/>
  <c r="F241" i="45"/>
  <c r="F219" i="45"/>
  <c r="E228" i="45"/>
  <c r="F228" i="45" s="1"/>
  <c r="F95" i="45"/>
  <c r="F96" i="45"/>
  <c r="F97" i="45"/>
  <c r="F98" i="45"/>
  <c r="F99" i="45"/>
  <c r="F100" i="45"/>
  <c r="F101" i="45"/>
  <c r="F102" i="45"/>
  <c r="F103" i="45"/>
  <c r="F104" i="45"/>
  <c r="F105" i="45"/>
  <c r="F106" i="45"/>
  <c r="F107" i="45"/>
  <c r="F108" i="45"/>
  <c r="F109" i="45"/>
  <c r="F110" i="45"/>
  <c r="F111" i="45"/>
  <c r="F112" i="45"/>
  <c r="F113" i="45"/>
  <c r="F114" i="45"/>
  <c r="F115" i="45"/>
  <c r="F116" i="45"/>
  <c r="F117" i="45"/>
  <c r="F118" i="45"/>
  <c r="F119" i="45"/>
  <c r="F120" i="45"/>
  <c r="F121" i="45"/>
  <c r="F94" i="45"/>
  <c r="F122" i="45" l="1"/>
  <c r="F278" i="45"/>
  <c r="F242" i="45"/>
  <c r="F208" i="46"/>
  <c r="F122" i="46"/>
  <c r="F121" i="46"/>
  <c r="F84" i="46"/>
  <c r="F166" i="46"/>
  <c r="F39" i="46"/>
  <c r="F40" i="46"/>
  <c r="F41" i="46"/>
  <c r="F42" i="46" s="1"/>
  <c r="F243" i="45" l="1"/>
  <c r="F245" i="45" s="1"/>
  <c r="F125" i="46"/>
  <c r="F43" i="46"/>
  <c r="F279" i="45"/>
  <c r="F123" i="45"/>
  <c r="F746" i="46" l="1"/>
  <c r="F246" i="45"/>
  <c r="F247" i="45" s="1"/>
  <c r="F244" i="45"/>
  <c r="F124" i="45"/>
  <c r="F126" i="45"/>
  <c r="F127" i="45" s="1"/>
  <c r="F125" i="45"/>
  <c r="F281" i="45"/>
  <c r="F282" i="45"/>
  <c r="F283" i="45" s="1"/>
  <c r="F280" i="45"/>
  <c r="F248" i="45" l="1"/>
  <c r="F128" i="45"/>
  <c r="F284" i="45"/>
  <c r="F81" i="45"/>
  <c r="F79" i="45"/>
  <c r="F78" i="45"/>
  <c r="F76" i="45"/>
  <c r="F75" i="45"/>
  <c r="F74" i="45"/>
  <c r="F73" i="45"/>
  <c r="F71" i="45"/>
  <c r="F70" i="45"/>
  <c r="F69" i="45"/>
  <c r="F68" i="45"/>
  <c r="F67" i="45"/>
  <c r="F66" i="45"/>
  <c r="F65" i="45"/>
  <c r="E64" i="45"/>
  <c r="F64" i="45" s="1"/>
  <c r="F62" i="45"/>
  <c r="F61" i="45"/>
  <c r="F60" i="45"/>
  <c r="F58" i="45"/>
  <c r="F57" i="45"/>
  <c r="F55" i="45"/>
  <c r="F54" i="45"/>
  <c r="F53" i="45"/>
  <c r="F82" i="45" l="1"/>
  <c r="F83" i="45" l="1"/>
  <c r="F86" i="45" s="1"/>
  <c r="F87" i="45" s="1"/>
  <c r="F84" i="45" l="1"/>
  <c r="F85" i="45"/>
  <c r="F88" i="45" l="1"/>
  <c r="F454" i="50" l="1"/>
  <c r="F456" i="50" s="1"/>
  <c r="F455" i="50" l="1"/>
  <c r="F457" i="50"/>
  <c r="F458" i="50" s="1"/>
  <c r="F459" i="50" l="1"/>
</calcChain>
</file>

<file path=xl/sharedStrings.xml><?xml version="1.0" encoding="utf-8"?>
<sst xmlns="http://schemas.openxmlformats.org/spreadsheetml/2006/main" count="8595" uniqueCount="1027">
  <si>
    <t>DESCRIPCION</t>
  </si>
  <si>
    <t xml:space="preserve"> </t>
  </si>
  <si>
    <t xml:space="preserve">ARAUCA </t>
  </si>
  <si>
    <t xml:space="preserve">PALESTINA </t>
  </si>
  <si>
    <t xml:space="preserve">VITERBO </t>
  </si>
  <si>
    <t xml:space="preserve">NEIRA </t>
  </si>
  <si>
    <t xml:space="preserve">VICTORIA </t>
  </si>
  <si>
    <t>Cambio red conducción de acueducto chambery sector la Floresta finca La Gloria   en el municipio de FiladelfiaCaldas</t>
  </si>
  <si>
    <t xml:space="preserve">BELALCAZAR </t>
  </si>
  <si>
    <t>Reposición de alcantarillado en la carrera 6 entre calles 12 y 13 en el municipio de Aguadas Caldas</t>
  </si>
  <si>
    <t>ITEM</t>
  </si>
  <si>
    <t>UND</t>
  </si>
  <si>
    <t>CONTRACTUAL</t>
  </si>
  <si>
    <t>CANTIDAD</t>
  </si>
  <si>
    <t>VR.UNITARIO</t>
  </si>
  <si>
    <t>VR. TOTAL</t>
  </si>
  <si>
    <t>PRELIMINARES</t>
  </si>
  <si>
    <t>Localización y replanteo (Incluye  plano record)</t>
  </si>
  <si>
    <t>ml</t>
  </si>
  <si>
    <t>Techado provisional en plástico y guadua</t>
  </si>
  <si>
    <t>m2</t>
  </si>
  <si>
    <t>Cerramiento con tela verde y soportes de guadua cada 2 metros</t>
  </si>
  <si>
    <t>Señal preventiva y reglamentaria</t>
  </si>
  <si>
    <t>und</t>
  </si>
  <si>
    <t>Instalación de valla institucional 2x4</t>
  </si>
  <si>
    <t>DEMOLICIONES</t>
  </si>
  <si>
    <t>Corte con disco abrasivo</t>
  </si>
  <si>
    <t>Demolición de estructuras en concreto hidráulico Incluye andenes, gradería y cañuelas</t>
  </si>
  <si>
    <t>EXCAVACION</t>
  </si>
  <si>
    <t>En material común de 0 a 2m</t>
  </si>
  <si>
    <t>En material común de 2,1 a 4m</t>
  </si>
  <si>
    <t>Entibado horizontal Tipo I</t>
  </si>
  <si>
    <t>Retiro de material sobrante en vehiculo automotor</t>
  </si>
  <si>
    <t>ESTRUCTURAS ALCANTARILLADO</t>
  </si>
  <si>
    <t>Instalación e tubería PVC corrugada de 20"</t>
  </si>
  <si>
    <t>Cámara de caída D=1,2, H≤3,04, espesor de pared e=0,20 con colchón de piedra pegada e=40cm y boquilla</t>
  </si>
  <si>
    <t>Suministro e instalación de tapa con aro pozo de inspección en HD  D=0.60cm  para 12 toneladas</t>
  </si>
  <si>
    <t>Un</t>
  </si>
  <si>
    <t>Bases y Cañuelas</t>
  </si>
  <si>
    <t>Instalación de tubería PVC corrugada de 6" para domiciliarias</t>
  </si>
  <si>
    <t>Cajas de inspección 0,50x0,50 para domiciliarias, Incluye tapa en concreto</t>
  </si>
  <si>
    <t xml:space="preserve">Instalación de silletas de 20"x6" </t>
  </si>
  <si>
    <t>Empalme a cámara</t>
  </si>
  <si>
    <t>LLENOS</t>
  </si>
  <si>
    <t>Arena para base y atraque</t>
  </si>
  <si>
    <t>Lleno compactado con material de la obra</t>
  </si>
  <si>
    <t>Sub base para pavimento</t>
  </si>
  <si>
    <t>Afirmado</t>
  </si>
  <si>
    <t>CONCRETOS</t>
  </si>
  <si>
    <t>Concreto de 21Mpa para graderías y andenes</t>
  </si>
  <si>
    <t>Concreto para pavimento 42MR hecho en obra</t>
  </si>
  <si>
    <t xml:space="preserve">ACERO </t>
  </si>
  <si>
    <t xml:space="preserve">Acero de refuerzo para graderías </t>
  </si>
  <si>
    <t>Kilo</t>
  </si>
  <si>
    <t>Acompañamiento social durante toda la obra</t>
  </si>
  <si>
    <t>mes</t>
  </si>
  <si>
    <t>COSTO TOTAL</t>
  </si>
  <si>
    <t xml:space="preserve">IMPREVISTOS </t>
  </si>
  <si>
    <t xml:space="preserve">RIOSUCIO </t>
  </si>
  <si>
    <t xml:space="preserve">GRUPO I AGUADAS </t>
  </si>
  <si>
    <t xml:space="preserve">COSTO DIRECTO </t>
  </si>
  <si>
    <t xml:space="preserve">ADMINISTRACION </t>
  </si>
  <si>
    <t xml:space="preserve">UTILIDADES </t>
  </si>
  <si>
    <t xml:space="preserve">IVA SOBRE UTILIDADES </t>
  </si>
  <si>
    <r>
      <t>m</t>
    </r>
    <r>
      <rPr>
        <sz val="11"/>
        <color indexed="8"/>
        <rFont val="Arial"/>
        <family val="2"/>
      </rPr>
      <t>³</t>
    </r>
  </si>
  <si>
    <t>Reposición de alcantarillado en la carrera 2 entre la calle 4 y 6 en el municipio de Aguadas Caldas</t>
  </si>
  <si>
    <t>Instalación e tubería PVC corrugada de 12"</t>
  </si>
  <si>
    <t>Instalación de silletas de 12"x6"</t>
  </si>
  <si>
    <t xml:space="preserve">Afirmado </t>
  </si>
  <si>
    <t>Reposición de alcantarillado calle 12 entre carreras 7 y 8 entrada barrio Marino Gomez  en el municipio de Aguadas Caldas</t>
  </si>
  <si>
    <t>Localización y replanteo</t>
  </si>
  <si>
    <t>m³</t>
  </si>
  <si>
    <t>Suministro e instalación de tapa con aro pozo de inspección en HD  D=0.60cm  Trafico pesado</t>
  </si>
  <si>
    <t xml:space="preserve">Localización y replanteo </t>
  </si>
  <si>
    <t>Suministro e instalación de tapa con aro pozo de inspección en HD  D=0.60cm  trafico pesado</t>
  </si>
  <si>
    <t>Cajas de inspección 0,50x0,50*H para domiciliarias, Incluye tapa en concreto</t>
  </si>
  <si>
    <t>Cambio red acueducto en la carrera 6 entre calles 12 y 13 en el municipio de Aguadas Caldas</t>
  </si>
  <si>
    <t>Localizacion y replanteo (Incluye  plano record)</t>
  </si>
  <si>
    <t>Demolicion de estructuras en concreto hidraulico Incluye andenes, graderia y cañuelas</t>
  </si>
  <si>
    <t>En material comun de 0 a 2m</t>
  </si>
  <si>
    <t>ESTRUCTURAS ACUEDUCTO</t>
  </si>
  <si>
    <t>Instalacion de tuberia PVC de 6"</t>
  </si>
  <si>
    <t>Instalacion de acometidas de 1/2" desde el tubo madre hasta el medidor</t>
  </si>
  <si>
    <t>Instalcion de Valvulas</t>
  </si>
  <si>
    <t>Suministro  e instalacion de tuberia de 8" conta pa tipo chorote para accionamiento de valvula</t>
  </si>
  <si>
    <t>Empalme a tuberia existente</t>
  </si>
  <si>
    <t>Concreto de 21Mpa para graderias y andenes</t>
  </si>
  <si>
    <t>Concreto para pavimento</t>
  </si>
  <si>
    <t xml:space="preserve">Acero de refuerzo para graderias </t>
  </si>
  <si>
    <t>Cambio red acueducto en la carrera 2 entre la calle 4 y 6 en el municipio de Aguadas Caldas</t>
  </si>
  <si>
    <t>Instalacion de tuberia PVC de 4"</t>
  </si>
  <si>
    <t xml:space="preserve">Localizacion y replanteo </t>
  </si>
  <si>
    <t>Instalacion de tuberia PVC de 2"</t>
  </si>
  <si>
    <t>Suministro  e istalacion de tuberia de 8" con tapa tipo chorote para accionamiento de valvula</t>
  </si>
  <si>
    <t xml:space="preserve">TOTAL GRUPO I AGUADAS </t>
  </si>
  <si>
    <t xml:space="preserve">GRUPO II ANSERMA  </t>
  </si>
  <si>
    <t>Reposición de alcantarillado calle 26 entre carreras 3E a la 4E  en el municipio de Anserma Caldas</t>
  </si>
  <si>
    <t>Suministro e instalación de tapa con aro pozo de inspección en HD  D=0.60cm trafico pesado</t>
  </si>
  <si>
    <t>Reposición de alcantarillado calle 28 entre carreras 2E a la 3E  en el municipio de Anserma  Caldas</t>
  </si>
  <si>
    <t>Instalación e tubería PVC corrugada de 14"</t>
  </si>
  <si>
    <t>Suministro e instalación de tapa con aro pozo de inspección en HD  D=0.60cm  para trafico pesado</t>
  </si>
  <si>
    <t>Instalación de silletas de 14"x6"</t>
  </si>
  <si>
    <t>Reposición de alcantarillado calle 24 entre carreras 1E a la 2E  en el municipio de Anserma  Caldas</t>
  </si>
  <si>
    <t>Reposición de alcantarillado calle 18 entre carreras 1 a la 2  en el municipio de Anserma  Caldas</t>
  </si>
  <si>
    <t>Reposición de alcantarillado calle 24 entre carreras 3 a la 4  en el municipio de Anserma  Caldas</t>
  </si>
  <si>
    <t>Reposición de alcantarillado calle 3 entre carreras 6 y 7  en el municipio de Anserma  Caldas</t>
  </si>
  <si>
    <t xml:space="preserve"> VR.UNITARIO </t>
  </si>
  <si>
    <t xml:space="preserve"> VR. TOTAL </t>
  </si>
  <si>
    <t>Techado provisional en Plástico Cal. 6  y guadua</t>
  </si>
  <si>
    <t>Suministro, Transporte e Instalacion Señal preventiva y reglamentaria</t>
  </si>
  <si>
    <t>Demolicion Pavimentos y Andenes en Concreto Hidraulico</t>
  </si>
  <si>
    <t>Corte mecanizado de Pavimento de Concreto Hidraulico (0,07m)</t>
  </si>
  <si>
    <t>Corte mecanizado Anden/Sardinel de Concreto Hidraulico (0,05m)</t>
  </si>
  <si>
    <t>Excavacion en zanja - Material Comun - 0.0 a 2.0 Mts</t>
  </si>
  <si>
    <t>Excavacion en zanja - Material Conglomerado - 0.0 a 2.0 Mts</t>
  </si>
  <si>
    <t>m3</t>
  </si>
  <si>
    <t>REPOSICIÓN DE LA RED DE ALCANTARILLADO</t>
  </si>
  <si>
    <t>Instalacion Tuberia PVC Corrugada 160mm (6") para Alcantarillado</t>
  </si>
  <si>
    <t>Instalacion Tuberia PVC Corrugada 250mm (12") para Alcantarillado</t>
  </si>
  <si>
    <t>Instalación empaleme pvc corrugado  de 315mm x 160 mm  (12"x6")</t>
  </si>
  <si>
    <t>un</t>
  </si>
  <si>
    <t xml:space="preserve">ENTIBADOS </t>
  </si>
  <si>
    <t>Entibado Horizontal/Vertical Tipo I</t>
  </si>
  <si>
    <t>CONSTRUCCION CAJAS DE INSPECCION DOMICILIARIA</t>
  </si>
  <si>
    <t>Suministro, Transporte e Instalacion Caja de Inspeccion Empalme domiciliario (0,50x0,50m) en Concreto 21Mpa</t>
  </si>
  <si>
    <t>Und</t>
  </si>
  <si>
    <t>RELLENOS</t>
  </si>
  <si>
    <t>Rellenos Compactados con Material de Obra</t>
  </si>
  <si>
    <t>Rellenos Compactados con Material Comun de Cantera de Prestamo</t>
  </si>
  <si>
    <t>Sustitucion en Arena limpia para Tuberias</t>
  </si>
  <si>
    <t>SUSTITUCION SUB-BASE Y BASES COMPACTADAS</t>
  </si>
  <si>
    <t>Suministro, Transporte e Instalacion Subbase p/Pavimentos en Material Granular tipo Invias,  Seleccionado y compactado</t>
  </si>
  <si>
    <t>CONSTRUCCION  CAMARAS CIRCULARES DE INSPECCION Y EMPALMES</t>
  </si>
  <si>
    <t>Suministro, Transporte e Instalacion de Camara Circular de Inspeccion/Caida D=1,2m en Concreto 21Mpa</t>
  </si>
  <si>
    <t>Suministro, Transporte e Instalacion de Base - Cañuela Camara Circular de Inspeccion/Caida D=1,2m en Concreto 21Mpa</t>
  </si>
  <si>
    <t>Suministro, Transporte e Instalacion Tapa HF D=0,60m p/Camara de Inspeccion</t>
  </si>
  <si>
    <t>EVACUACION DE ESCOMBROS</t>
  </si>
  <si>
    <t>Evacuacion de Escombros y Sobrantes en vehiculo automotor (Incluye permiso de utilizacion de escombrera)</t>
  </si>
  <si>
    <t>OBRAS EN CONCRETO HIDRAULICO</t>
  </si>
  <si>
    <t>Pavimentos de Franjas en Concreto hecho en obra Clase IB (MR42)</t>
  </si>
  <si>
    <t>Suministro, Transporte e Instalacion Acero de Refuerzo de 1/2" y 1 1/4" de 420 Mpa (4200Kg/cm²)</t>
  </si>
  <si>
    <t>kg</t>
  </si>
  <si>
    <t>Reposición de la red de alcantarillado en la calle 11 entre carreras 2 y 3 en el municipio de Anserma Caldas</t>
  </si>
  <si>
    <t>Reposición de alcantarillado salida a Riosucio frente al instituto  en el municipio de Anserma Caldas</t>
  </si>
  <si>
    <t>Cerramiento con bombones, cinta plastica y dos señales de desvio</t>
  </si>
  <si>
    <t xml:space="preserve">Regulador de transito con paletas  pare siga </t>
  </si>
  <si>
    <t>Jornal</t>
  </si>
  <si>
    <t>Demolición de estructuras en concreto hidráulico Incluye andenes, gradería, cañuelas y cunetas</t>
  </si>
  <si>
    <t>Entibado horizontal tipo I</t>
  </si>
  <si>
    <t>Instalación e tubería PVC corrugada de 10"</t>
  </si>
  <si>
    <t>Suministro e instalación de tapa con aro pozo de inspección en HD  D=0.60cm trafico pesado</t>
  </si>
  <si>
    <t>Instalación de silletas de 10"x6"</t>
  </si>
  <si>
    <t>Sub base para pavimento tipo invias</t>
  </si>
  <si>
    <t>Concreto para pavimento 42MR hecho en obra para cuneta vía nacional</t>
  </si>
  <si>
    <t xml:space="preserve">Acero de refuerzo </t>
  </si>
  <si>
    <t>Reposición de alcantarillado calle 24B entre carreras 1E a la 2E barrio Galicia I etapa  en el municipio de Anserma  Caldas</t>
  </si>
  <si>
    <t>En conglomerado</t>
  </si>
  <si>
    <t>Cambio red acueducto carrera 2 entre calles 5 y 6 en el municipio de Anserma Caldas</t>
  </si>
  <si>
    <t>Instalacion de tuberia PVC  de 3"</t>
  </si>
  <si>
    <t>Suministro  e istalacion de tuberia de 8" conta pa tipo chorote para accionamiento de valvula</t>
  </si>
  <si>
    <t xml:space="preserve">Empalme a tuberia existente </t>
  </si>
  <si>
    <t>Subbase para pavimento y escalas</t>
  </si>
  <si>
    <t>Cambio red acueducto  calle 3 entre carreras 2 y  3 en el municipio de Anserma Caldas</t>
  </si>
  <si>
    <t>Instalacion de tuberia PVC de 3"</t>
  </si>
  <si>
    <t>Subbase para pavimento tipo invias</t>
  </si>
  <si>
    <t>Cambio red acueducto carrera 2 entre calles 10 a la 11 en el municipio de Anserma Caldas</t>
  </si>
  <si>
    <t>SUMINISTRO, TRANSPORTE E INSTALACION PUENTE PEATONAL PROVISIONAL EN MADERA (ANCHO = 1.40 MT)</t>
  </si>
  <si>
    <t>Suministro e  instalacion de tubo para accionamiento de valvula incluye tapa tipo chorote</t>
  </si>
  <si>
    <t>Empalme a tuberia existente a polietileno</t>
  </si>
  <si>
    <t>Un </t>
  </si>
  <si>
    <t>Concreto para pavimento 42 MR  hecho en obra</t>
  </si>
  <si>
    <t>ACERO </t>
  </si>
  <si>
    <t>Acero de refuerzo para graderias </t>
  </si>
  <si>
    <t>Cambio red acueducto carrera 6 entre calles 9 y 10 en el municipio de Anserma Caldas</t>
  </si>
  <si>
    <t>Localizacion y replanteo</t>
  </si>
  <si>
    <t>Instalacion de tuberia PVC  de 4"</t>
  </si>
  <si>
    <t>Instalcion de Valvulas de 4"</t>
  </si>
  <si>
    <t>Empalme a tuberia existente incluye la instalción de accesorios uniones y Tees.</t>
  </si>
  <si>
    <t>Cambio red acueducto carrera 3 entre calles 2 y 3 en el municipio de Anserma Caldas</t>
  </si>
  <si>
    <t>Subbase para pavimento tipo invia</t>
  </si>
  <si>
    <t>Cambio red acueducto Anillo vial en el municipio de Anserma Caldas</t>
  </si>
  <si>
    <t>Cambio red acueducto calle 18 entre carreras 1  a la 2 en el municipio de Anserma Caldas</t>
  </si>
  <si>
    <t>Cambio red acueducto  calle 24 entre carreras 3 a la 4 en el municipio de Anserma Caldas</t>
  </si>
  <si>
    <t>Cambio red acueducto calle 3 entre carreras 6 a la 7 en el municipio de Anserma Caldas</t>
  </si>
  <si>
    <t xml:space="preserve">TOTAL GRUPO II ANSERMA </t>
  </si>
  <si>
    <t xml:space="preserve">SUB TOTAL ARAUCA </t>
  </si>
  <si>
    <t>001 PRELIMINARES</t>
  </si>
  <si>
    <t>SUMINISTRO, TRANSPORTE E INSTALACION CAMPAMENTO PROVISIONAL</t>
  </si>
  <si>
    <t>M2</t>
  </si>
  <si>
    <t>002 MOVIMIENTO DE TIERRAS</t>
  </si>
  <si>
    <t xml:space="preserve">EXCAVACIÓN EN ZANJA - MATERIAL COMÚN - 0.0 A 2.0 M                                                     </t>
  </si>
  <si>
    <t>M3</t>
  </si>
  <si>
    <t xml:space="preserve">EXCAVACIÓN EN ZANJA - MATERIAL CONGLOMERADO - 0.0 A 2.0 M                                                     </t>
  </si>
  <si>
    <t xml:space="preserve">EXCAVACIÓN EN ZANJA - MATERIAL ROCA - 0.0 A 2.0 M                                                     </t>
  </si>
  <si>
    <t>RELLENO EN MATERIAL SELECCIONADO PROVENIENTE DE LA EXCAVACION (APISONADO) ALREDEDOR DE ESTRUCTURAS</t>
  </si>
  <si>
    <t xml:space="preserve">RETIRO DE ESCOMBROS </t>
  </si>
  <si>
    <t>002A CIMIENTOS</t>
  </si>
  <si>
    <t>SUMINISTRO, TRANSPORTE E INSTALACION ZARPA  CONCRETO 3000 PSI</t>
  </si>
  <si>
    <t>SUMINISTRO, TRANSPORTE E INSTALACION SOLADO DE LIMPIEZA CONCRETO 2000 PSI</t>
  </si>
  <si>
    <t>SUMINISTRO, TRANSPORTE E INSTALACION ZAPATA CONCRETO 3000 PSI</t>
  </si>
  <si>
    <t>003 DESAGUES E INSTALACIONES SANITARIAS</t>
  </si>
  <si>
    <t>SUMINISTRO, TRANSPORTE E INSTALACION CAJA DE INSPECCION 0.50*0.50*0.50 m.</t>
  </si>
  <si>
    <t>SUMINISTRO, TRANSPORTE E INSTALACION BAJANTE AGUAS LLUVIAS  PVC   3"   (INCLUYE CODO, UNION Y ACCESORIOS DE FIJACION)</t>
  </si>
  <si>
    <t>ML</t>
  </si>
  <si>
    <t>SUMINISTRO, TRANSPORTE E INSTALACION PUNTO DESAGUE PVC   2" Aparatos sanitarios y desagues  (INCLUYE CODO, YEE Y ACCESORIOS)</t>
  </si>
  <si>
    <t>SUMINISTRO, TRANSPORTE E INSTALACION PUNTO DESAGUE PVC   4" Aparatos sanitarios (INCLUYE CODO, YEE Y ACCESORIOS)</t>
  </si>
  <si>
    <t>SUMINISTRO, TRANSPORTE E INSTALACION TUBERIA PVC-S  2" (RED SANITARIA, INCLUYE ACCESORIOS)</t>
  </si>
  <si>
    <t>SUMINISTRO, TRANSPORTE E INSTALACION TUBERIA PVC-S  4" (RED SANITARIA, INCLUYE ACCESORIOS)</t>
  </si>
  <si>
    <t>SUMINISTRO, TRANSPORTE E INSTALACION TUBERIA PVC-S  6" (RED SANITARIA, INCLUYE ACCESORIOS)</t>
  </si>
  <si>
    <t>SUMINISTRO, TRANSPORTE E INSTALACION CANAL EN LAMINA GALVANIZADA</t>
  </si>
  <si>
    <t xml:space="preserve">005 ESTRUCTURAS EN CONCRETO Y METALICAS </t>
  </si>
  <si>
    <t>SUMINISTRO, TRANSPORTE E INSTALACION PLACA CONTRAPISO CONCRETO e= 0,10 M 3000 PSI  NO INCLUYE METALDECK</t>
  </si>
  <si>
    <t>SUMINISTRO, TRANSPORTE E INSTALACION PLACA CUBIERTA CONCRETO IMPERMEABILIZADO e= 0,10 3000 PSI  NO INCLUYE METALDECK</t>
  </si>
  <si>
    <t xml:space="preserve">SUMINISTRO, TRANSPORTE E INSTALACION COLUMNAS CONCRETO 3000 PSI </t>
  </si>
  <si>
    <t>SUMINISTRO, TRANSPORTE E INSTALACION VIGA DE CUBIERTA CONCRETO 3000 PSI  .</t>
  </si>
  <si>
    <t>SUMINISTRO, TRANSPORTE E INSTALACION VIGA ENTREPISO CONCRETO 3000 PSI  .</t>
  </si>
  <si>
    <t>SUMINISTRO, TRANSPORTE E INSTALACION VIGA CIMENTACION CONCRETO 3000 PSI  .</t>
  </si>
  <si>
    <t>SUMINISTRO, TRANSPORTE E INSTALACION ALFAJIAS EN CONCRETO 3000 PSI a=0.25 m</t>
  </si>
  <si>
    <t>Suministro e instalacion lamina metaldeck o similar  2" calibre 22  ( incluye conectores) , para losa de entrepiso no incluye concreto</t>
  </si>
  <si>
    <t>SUMINISTRO, TRANSPORTE E INSTALACION PERFIL IPE 450  ( Incluye soldadura, anticorrosivo y esmalte)</t>
  </si>
  <si>
    <t>KG</t>
  </si>
  <si>
    <t>SUMINISTRO, TRANSPORTE E INSTALACION ACERO DE REFUERZO fy=60000 PSI</t>
  </si>
  <si>
    <t>SUMINISTRO, TRANSPORTE E INSTALACION PERFIL EN CAJON PHRC 305x80x25(2,00mm) ( Incluye soldadura, anticorrosivo y esmalte)</t>
  </si>
  <si>
    <t>SUMINISTRO, TRANSPORTE E INSTALACION Perfil en cajon PHRC 355x110x25(3,00mm) ( Incluye soldadura, anticorrosivo y esmalte )</t>
  </si>
  <si>
    <t>VIGAS Y COLUMNAS DE 20 *13 CMS CONCRETO DE 3000 PSI</t>
  </si>
  <si>
    <t xml:space="preserve">SUMINISTRO, TRANSPORTE E INSTALACION Malla electrosoldada M 188 d=6 mm@0.15 </t>
  </si>
  <si>
    <t>006 MAMPOSTERIA</t>
  </si>
  <si>
    <t>SUMINISTRO TRANSPORTE E INSTALACION DE MURO EN LADRILLO FAROL PANDERETA E=12CMS</t>
  </si>
  <si>
    <t>007 INSTALACIONES HIDRAULICAS</t>
  </si>
  <si>
    <t>SUMINISTRO, TRANSPORTE E INSTALACION ACOMETIDA  AGUA PRESION PVC  3/4" ".  Incluye accesorios.</t>
  </si>
  <si>
    <t>SUMINISTRO, TRANSPORTE E INSTALACION REGISTRO Red White 3/4" (Incluye accesorios)</t>
  </si>
  <si>
    <t>SUMINISTRO, TRANSPORTE E INSTALACION TUBERIA PVC-P RDE 11 1/2" Agua Fria ( Red de suministro ) Incluye accesorios</t>
  </si>
  <si>
    <t>008B INSTALACIONES ELECTRICAS - REDES INTERNAS</t>
  </si>
  <si>
    <t>SUMINISTRO, TRANSPORTE E INSTALACION ACOMETIDA ELECTRICA</t>
  </si>
  <si>
    <t xml:space="preserve">SUMINISTRO E INSTALACION DE TABLERO DE 6 CIRCUITOS </t>
  </si>
  <si>
    <t xml:space="preserve">SUMINISTRO, TRANSPORTE E INSTALACION SALIDA TOMACORRIENTE NORMAL DOBLE PT EN TUBERIA CONDUIT PVC 3/4", ALAMBRE No 12 AWG </t>
  </si>
  <si>
    <t xml:space="preserve">SUMINISTRO, TRANSPORTE E INSTALACION SALIDA INTERRUPTOR SENCILLO EN TUBERIA CONDUIT EMT 3/4", ALAMBRE No 12 AWG. </t>
  </si>
  <si>
    <t xml:space="preserve">SUMINISTRO, TRANSPORTE E INSTALACION SALIDA INTERRUPTOR DOBLE EN TUBERIA CONDUIT PVC 3/4", ALAMBRE No 12 AWG. </t>
  </si>
  <si>
    <t>009 REVOQUES-RESANES</t>
  </si>
  <si>
    <t>SUMINISTRO,TRANSPORTE E INSTALACION REVOQUE LISO MUROS   1:3  INTERIOR Y EXTERIOR ( INCLUYE FILOS Y DILATACIONES )</t>
  </si>
  <si>
    <t>012 PISOS - ACABADOS</t>
  </si>
  <si>
    <t>SUMINISTRO, TRANSPORTE E INSTALACION CERAMICA PISO Tipo Ecoceramica  20 x 20 cm. Tipo Alfa o Similar. Color Blanco  (Incluye boquilla.)</t>
  </si>
  <si>
    <t>014 VIDRIOS Y ESPEJOS</t>
  </si>
  <si>
    <t>SUMINISTRO, TRANSPORTE E INSTALACION  ESPEJO  4 MM. FLOTADO BISELADO Y SIN MARCO. (INCLUYE LOS ELEMENTOS DE FIJACIÓN AL MURO).</t>
  </si>
  <si>
    <t>015 APARATOS SANITARIOS</t>
  </si>
  <si>
    <t>SUMINISTRO, TRANSPORTE E INSTALACION COMBO Tipo AVANTI Color Blanco Ref. 30336100K Tipo Corona o Similar. (Incluye Sanitario Redondo Avanti con tapa y tanque, lavamanos de pedestal avanti accesorios de conexión e instalación.) más Conjunto Grifería Lavamanos Prysma 4" con sifón botella, desague sencillo y grapas.</t>
  </si>
  <si>
    <t>018 CERRAJERIA</t>
  </si>
  <si>
    <t>SUMINISTRO TRANSPORTE E INSTALACION DE VENTANA TIPO REJA EN ACERO REDONDO 5/8" O SUPERIOR</t>
  </si>
  <si>
    <t>SUMINISTRO E INSTALACION Y TRANSPORTE DE PUERTA PRINCIPAL EN LAMINA CALIBRE 20 CON CHAPA DE SEGURIDAD YALE DE 3 TRES MACHUELOS, REJA INTERIOR ADOSADA A LA PUERTA Y PASADOR CON PORTACANDADOS EXTERNOS.</t>
  </si>
  <si>
    <t>SUMINISTRO TRANSPORTE E INSTALACION DE PUERTA A BAÑO METALICA CON PASADOR</t>
  </si>
  <si>
    <t>019 PINTURA</t>
  </si>
  <si>
    <t>SUMINISTRO, TRANSPORTE E INSTALACION ESTUCO Y VINILO 3 MANOS SOBRE MURO INTERIOR (INCLUYE ESTUCO, 1 MANO EN PINTURA TIPO 2  Y DOS MANOS EN PINTURA TIPO 1, FILOS Y DILATACIONES). COLOR SEGÚN DISEÑO POR M2</t>
  </si>
  <si>
    <t>SUMINISTRO, TRANSPORTE E INSTALACION ESTUCO Y PINTURA TIPO KORAZA O SIMILAR 3 MANOS FACHADAS (INCLUYE ESTUCO, 1 MANO EN PINTURA TIPO 2 Y DOS MANOS EN PINTURA TIPO KORAZA O SIMILAR, FILOS Y DILATACIONES). COLOR SEGÚN DISEÑO.</t>
  </si>
  <si>
    <t>021 OBRAS EXTERIORES</t>
  </si>
  <si>
    <t>SUMINISTRO TRANSPORTE E INSTALACION CERRAMIENTO EN MALLA ESLABONADA DEL LUGAR DONDE SE ENCUENTRA UBICADO EL TRASFORMADOR DE ENERGIA INCLUYE MAMPOSTERIA A TRES HILADAS DE LADRILLO Y VIGA DE CIMENTACION CON LOS PEDESTALES EN CONCRETO PARA LOS POSTES DE TUBERIA.</t>
  </si>
  <si>
    <t>SUMINISTRO TRANSPORTE E INSTALACION PUERTA EN TUBERIA Y MALLA ESLABONADA PARA ACCESO A EL TRANSFORMADOR CON PASADOR Y PORTACANDADO DE SEGURIDAD</t>
  </si>
  <si>
    <t>SUMINISTRO TRANSPORTE E INSTALACION DE CONCERTINA POR EL PERIMETRO DEL CERRAMIENTO (Incluye instalación de guaya en acero de 1/8" por dos lados con grilletes) y se dejará el alambre de púas.</t>
  </si>
  <si>
    <t>022 ASEO GENERAL Y LIMPIEZA</t>
  </si>
  <si>
    <t>LIMPIEZA GENERAL DE ZONAS EXTERIORES</t>
  </si>
  <si>
    <t>GL</t>
  </si>
  <si>
    <t>028 DESMONTES</t>
  </si>
  <si>
    <t xml:space="preserve">DESMONTE CERRAMIENTO MALLA </t>
  </si>
  <si>
    <t>DESMONTE DE CUBIERTA</t>
  </si>
  <si>
    <t>DESMONTE DE CASETA DE OPERARIO (ACTUALMENTE EN ZINC)</t>
  </si>
  <si>
    <t>029 DEMOLICIONES</t>
  </si>
  <si>
    <t>DEMOLICION DE ESTRUCTURA EN MAMPOSTERIA</t>
  </si>
  <si>
    <t>DEMOLICION DE PLACA DE CONTRAPISO</t>
  </si>
  <si>
    <r>
      <rPr>
        <sz val="11"/>
        <rFont val="Arial"/>
        <family val="2"/>
      </rPr>
      <t xml:space="preserve">Reforzarmiento  de  seguridad del bombeo la laguna del municipio de Belalcazar </t>
    </r>
    <r>
      <rPr>
        <b/>
        <sz val="11"/>
        <rFont val="Arial"/>
        <family val="2"/>
      </rPr>
      <t xml:space="preserve">            </t>
    </r>
  </si>
  <si>
    <t xml:space="preserve">SUB TOTAL BELALCAZAR </t>
  </si>
  <si>
    <t>Reposición de alcantarillado calle 2 bis entre carreras 14 a la 16 y carrera 14bis entre calles 2 y 2bis  en el municipio de Viterbo Caldas</t>
  </si>
  <si>
    <t>Reposición de alcantarillado barrio Manuel Valencia en el municipio de Viterbo Caldas</t>
  </si>
  <si>
    <t>Instalación e tubería PVC corrugada de 16"</t>
  </si>
  <si>
    <t>Cambio red acueducto carrera 8 entre calles 5 ala 6  en el municipio de viterbo Caldas</t>
  </si>
  <si>
    <t>Subbase para pavimento</t>
  </si>
  <si>
    <t xml:space="preserve">SUB TOTAL VITERBO </t>
  </si>
  <si>
    <t>Reposición de alcantarillado carrera 9 con calles 6 y 7  en el municipio de Chinchina Caldas</t>
  </si>
  <si>
    <t>Suministro e instalación de tapa con aro pozo de inspección en HD  D=0.60cm trafico pesado</t>
  </si>
  <si>
    <t>Gl</t>
  </si>
  <si>
    <t>Reposición de alcantarillado calle 13 entre carreras 8 ala 9A y de 7 a la 4  en el municipio de Chinchiná Caldas</t>
  </si>
  <si>
    <t>Retiro de material sobrante en vehículo automotor</t>
  </si>
  <si>
    <t>Instalación e tubería PVC corrugada de 24"</t>
  </si>
  <si>
    <t xml:space="preserve">Instalación de silletas de 16"x6" </t>
  </si>
  <si>
    <t xml:space="preserve">Instalación de silletas de 24"x6" </t>
  </si>
  <si>
    <t>Cambio red acueducto calle 13 en carreras 8 y 9 y 4 a la 7 en el municipio de Chinchiná Caldas</t>
  </si>
  <si>
    <t>Instalación de tubería PVC de 3"</t>
  </si>
  <si>
    <t>Instalación de acometidas de 1/2" desde el tubo madre hasta el medidor</t>
  </si>
  <si>
    <t>Instalación de Válvulas</t>
  </si>
  <si>
    <t>Suministro  e instalación de tubería de 8" con tapa tipo chorote para accionamiento de válvula</t>
  </si>
  <si>
    <t>Empalme a tubería existente</t>
  </si>
  <si>
    <t>Reposición de alcantarillado  en  la calle 5 entre carreras 5 y 6 en el municipio de Chinchina Caldas</t>
  </si>
  <si>
    <t>Reposición de pavimento por daño de alcantarillado carrera  11 entre calles 14 y 15 en el municipio de Chinchina Caldas</t>
  </si>
  <si>
    <t>Cambio red acueducto barrio San martin Cra 12 # 13-35 en el municipio de Chinchina Caldas</t>
  </si>
  <si>
    <t>Instalacion de Valvulas</t>
  </si>
  <si>
    <t>Reposición de alcantarillado calle 4A con carrera 8 y 9  en el municipio de Chinchiná Caldas</t>
  </si>
  <si>
    <t>Cambio red acueducto calle 4A  con carreras 8 y 9 en el municipio de Chinchiná Caldas</t>
  </si>
  <si>
    <t>Cambio red acueducto carrera 9 entre calles 6 a la 7 en el municipio de Chinchina Caldas</t>
  </si>
  <si>
    <t>Reposición de alcantarillado carrera 6 entre calle 8 y 9  en el municipio de Chinchiná Caldas</t>
  </si>
  <si>
    <t>Instalación e tubería PVC corrugada de 18"</t>
  </si>
  <si>
    <t xml:space="preserve">Instalación de silletas de 18"x6" </t>
  </si>
  <si>
    <t>Cambio red acueducto carrera 6 entre calles 8 y 9 en el municipio de Chinchiná Caldas</t>
  </si>
  <si>
    <t>Suministro  e instalación de tubería de 8" con  tapa tipo chorote para accionamiento de válvula</t>
  </si>
  <si>
    <t>Reposición de alcantarillado barrio el tunel desde la casa 25 hasta la casa 137 el municipio de Chinchina Caldas</t>
  </si>
  <si>
    <t>Suministro e instalación de tapa con aro pozo de inspección en HD  D=0.60cm  para trafico pesado</t>
  </si>
  <si>
    <t>Cambio red acueducto carrera 9 entre las calles 7 a la 8 en el municipio de Chinchiná Caldas</t>
  </si>
  <si>
    <t>Instalación de tubería PVC de 6"</t>
  </si>
  <si>
    <t>Entibado vertical tipo II</t>
  </si>
  <si>
    <t>Instalación de silletas de 24"x6"</t>
  </si>
  <si>
    <t>Cambio red acueducto conduccion y viaducto  sector La Pradera en el corregimiento de Arauca en el municipio de Palestina Caldas</t>
  </si>
  <si>
    <t>Dispersion de material sobrante en vehiculo automotor</t>
  </si>
  <si>
    <t>Instalacion de tuberia PVC de 8"</t>
  </si>
  <si>
    <t>Instalacion de ventosa  de 1"</t>
  </si>
  <si>
    <t>Instalacion de Valvulas de lavado de 4"</t>
  </si>
  <si>
    <t>Concreto para anclajes a 3000 PSI hecho en obra</t>
  </si>
  <si>
    <t>VIADUCTO</t>
  </si>
  <si>
    <t>Dispersión de sobrantes</t>
  </si>
  <si>
    <t>Instalacion y termafusion de tuberia de polietileno de 8"</t>
  </si>
  <si>
    <t xml:space="preserve">Intalacion y termofusion de portaflanche de 8" </t>
  </si>
  <si>
    <t>Empalme a tubería existente incluye tornillos y empaque</t>
  </si>
  <si>
    <t>Anclaje a tubería existente incluye 4 tubos metálicos de 1.5m c/u y alambre galvanizado</t>
  </si>
  <si>
    <t>Suministro e instalación de cable de 3/4" incluye grilletes</t>
  </si>
  <si>
    <t>Suministro e instalación de templetes con platina</t>
  </si>
  <si>
    <t>Suministro e instalación de templetes para anclar cable</t>
  </si>
  <si>
    <t>Caisson D= 1 mts incluye excavación manual y concreto</t>
  </si>
  <si>
    <t>Suministro instalación de acero de refuerzo</t>
  </si>
  <si>
    <t>kilo</t>
  </si>
  <si>
    <r>
      <t>m</t>
    </r>
    <r>
      <rPr>
        <sz val="12"/>
        <color indexed="8"/>
        <rFont val="Arial"/>
        <family val="2"/>
      </rPr>
      <t>³</t>
    </r>
  </si>
  <si>
    <t>Reposición de alcantarillado sector bomberos corregimiento  de Arauca  en el municipio de Palestina Caldas</t>
  </si>
  <si>
    <t>En material roca</t>
  </si>
  <si>
    <t>Retiro de material sobrante en vehículo automotor hasta escombrera en Manizales</t>
  </si>
  <si>
    <t>Llenos con material de préstamo</t>
  </si>
  <si>
    <t>En roca</t>
  </si>
  <si>
    <t xml:space="preserve">Dispersión de  material sobrante </t>
  </si>
  <si>
    <t>Anclaje a tubería existente incluye 4 tubos de 2" metálicos de 2 m c/u de largo  y alambre galvanizado</t>
  </si>
  <si>
    <t xml:space="preserve">FILADELDIA </t>
  </si>
  <si>
    <t>Reposición de alcantarillado carrera 10 transversal  en el municipio de Neira Caldas</t>
  </si>
  <si>
    <t>Cambio red acueducto carrera 10 transversal en el municipio de Neira Caldas</t>
  </si>
  <si>
    <t>Reposición de alcantarillado calle 8 entre la carrera 5 a la  7  en el municipio de Neira  Caldas</t>
  </si>
  <si>
    <t xml:space="preserve">Suministro e instalación de tapa con aro pozo de inspección en HD  D=0.60cm </t>
  </si>
  <si>
    <t>1.-</t>
  </si>
  <si>
    <t>1.1</t>
  </si>
  <si>
    <t>Localizacion y replanteo de redes (Incl.levantamiento del sector y plano record)</t>
  </si>
  <si>
    <t>mts</t>
  </si>
  <si>
    <t>1.2</t>
  </si>
  <si>
    <t>Cerramiento en polisombra Yute verde de H=2m, parales en guadua y Cinta Plástica.</t>
  </si>
  <si>
    <t>1.3</t>
  </si>
  <si>
    <t>Señalizacion Vertical preventivas (Desvio, hombres trabajando, vía cerrada, barreras etc.)</t>
  </si>
  <si>
    <t>Valla alusiva a la Obra de 4 x 2m</t>
  </si>
  <si>
    <t>DEMOLICIONES VARIAS</t>
  </si>
  <si>
    <t>2.1</t>
  </si>
  <si>
    <t>Demoliciones de pavimentos rigidos</t>
  </si>
  <si>
    <t>Demoliciones varias de muros en concretos, otros</t>
  </si>
  <si>
    <t>2.3</t>
  </si>
  <si>
    <t>Demoliciones de Andenes, peatonales  y Sardinel en concreto hidráulico</t>
  </si>
  <si>
    <t>SOBREACARREOS</t>
  </si>
  <si>
    <t>3.1</t>
  </si>
  <si>
    <t>Retiro de sobrantes en vehículo Automotor</t>
  </si>
  <si>
    <t xml:space="preserve">EXCAVACIONES </t>
  </si>
  <si>
    <t>4.1</t>
  </si>
  <si>
    <t>Excavaciones en zanja - material Común  0 a 2 m</t>
  </si>
  <si>
    <t>Excavaciones en Material Conglomerado</t>
  </si>
  <si>
    <t>Entibado horizontal / vertical tipo 2</t>
  </si>
  <si>
    <t>RELLENOS COMPACTADOS</t>
  </si>
  <si>
    <t>5.1</t>
  </si>
  <si>
    <t>Rellenos compactos con material seleccionado  de excavación</t>
  </si>
  <si>
    <t>5.2</t>
  </si>
  <si>
    <t>Rellenos compactos con material comun de cantera prestamo</t>
  </si>
  <si>
    <t>SUSTITUCIONES- BASES Y SUBBASES COMPACTOS</t>
  </si>
  <si>
    <t>6.1</t>
  </si>
  <si>
    <t>Suministro e instalación de afirmado en andenes compactos espesor 0,10 m</t>
  </si>
  <si>
    <t>Suministro e instalcion de Sub-base tipo INVIAS E=0,15 m. incluye ensayos de densidad, protor.</t>
  </si>
  <si>
    <t>Suministro e instalacion Sustitucion en arena  para tuberías y atraques.</t>
  </si>
  <si>
    <t>ALCANTARILLADOS</t>
  </si>
  <si>
    <t>7.1</t>
  </si>
  <si>
    <t xml:space="preserve"> Suministro e Instalación de tuberia corrugada PVC-S  de 160 mm (6"). Incluye manejo de aguas en zanja.</t>
  </si>
  <si>
    <t>7.3</t>
  </si>
  <si>
    <t>Suministro e Instalacion tuberia corrugada PVC-S  de 315 mm (12").Incluye manejos de aguas en zanja.</t>
  </si>
  <si>
    <t>7.4</t>
  </si>
  <si>
    <t>Empalmes a Cámaras d=1.20 m concreto 300 psi</t>
  </si>
  <si>
    <t>7.5</t>
  </si>
  <si>
    <t>Empalmes a Cajas de Inspeccion Concreto 3000 psi</t>
  </si>
  <si>
    <t>7.6</t>
  </si>
  <si>
    <t>Cámaras de Inspección D= 1.20 -Concreto  21 Mpa</t>
  </si>
  <si>
    <t>7.7</t>
  </si>
  <si>
    <t>Base/ cañuela camara D=1.20 m en concreto 3000 psi</t>
  </si>
  <si>
    <t>7.8</t>
  </si>
  <si>
    <t>Suministro e Instalacion Tapa D=0.60m en HF</t>
  </si>
  <si>
    <t>7.9</t>
  </si>
  <si>
    <t>Cajas de Inspeccion de 0,50 x 0,50 x 0,80, Incluye tapa reforzada</t>
  </si>
  <si>
    <t>7.10</t>
  </si>
  <si>
    <t>Sumidero doble reja tipo sifon en concreto 21 Mpa   Tapa en HF, Acero de 1" separacion hierro 5 cms a ejes, platina central de refuerzo. según diseño establecido.</t>
  </si>
  <si>
    <t>7.11</t>
  </si>
  <si>
    <t xml:space="preserve">Losa en concreto reforzado de 1.50 x1.50 x 0,18m acero de refuerzo, doble parrillas No. 4 cada 15 cms. incluye antisol y acelerante. </t>
  </si>
  <si>
    <t>7.12</t>
  </si>
  <si>
    <t>Instalacion de silla yee de 12 x 6".</t>
  </si>
  <si>
    <t xml:space="preserve">OBRAS EN CONCRETO </t>
  </si>
  <si>
    <t>8.1</t>
  </si>
  <si>
    <t>Corte mecánizado profundidad  0.07 m</t>
  </si>
  <si>
    <t>8.2</t>
  </si>
  <si>
    <t xml:space="preserve">Pavimento en rigido de 4000 Psi de espesor 0,18  en obra incluye Acelerante, Antisol, ensayos de laboratorios </t>
  </si>
  <si>
    <t>Pavimento Flexible mezcla caliente incluye Imprimación, regado, compactacion con cilindro espesor  0,18 m.</t>
  </si>
  <si>
    <t>Adecuacion de Andenes y Rampas  e= 0,08 m Concreto de 3000 Psi.</t>
  </si>
  <si>
    <t xml:space="preserve">Pavimento en rigido de 3000 Psi de espesor 0,12  en obra incluye Acelerante, Antisol, ensayos de laboratorios </t>
  </si>
  <si>
    <t>9.1</t>
  </si>
  <si>
    <t>Gbl</t>
  </si>
  <si>
    <t xml:space="preserve">Techado provisional en Guadua y plástico en toda el area de la obra </t>
  </si>
  <si>
    <t>1.4</t>
  </si>
  <si>
    <t>1.5</t>
  </si>
  <si>
    <t>Entibado horizontal / vertical tipo 1</t>
  </si>
  <si>
    <t>Sub-base Pavimento e= 0,20 m</t>
  </si>
  <si>
    <t xml:space="preserve"> CONCRETOS</t>
  </si>
  <si>
    <t>Concretos de 21  Mpa para graderias y andenes</t>
  </si>
  <si>
    <t>7.2</t>
  </si>
  <si>
    <t>Concreto para Pavimentos MR 42 hecho en obra</t>
  </si>
  <si>
    <t>Corte en disco abrasivo</t>
  </si>
  <si>
    <t>8.3</t>
  </si>
  <si>
    <t>8.4</t>
  </si>
  <si>
    <t>8.5</t>
  </si>
  <si>
    <t>8.6</t>
  </si>
  <si>
    <t>8.7</t>
  </si>
  <si>
    <t>Suministro e Instalacion Tapa con Aro pozo de inspección en HD  D=O,60 M con empaque anti ruido y sistema de seguridad.</t>
  </si>
  <si>
    <t>Cajas de Inspeccion de 0,50 x 0,50, Incluye tapa reforzada</t>
  </si>
  <si>
    <t>ITEMS</t>
  </si>
  <si>
    <t xml:space="preserve">DESCRIPCION </t>
  </si>
  <si>
    <t>UNID</t>
  </si>
  <si>
    <t>VR. UNITARIO</t>
  </si>
  <si>
    <t xml:space="preserve">VR. TOTAL </t>
  </si>
  <si>
    <t>Construcción de Cordon en suelo cemento para control y desvio de aguas lluvias y otras.</t>
  </si>
  <si>
    <t>Construcción de pasos peatonales en tableros, baranadas en madera</t>
  </si>
  <si>
    <t>Instalación de porta flanche de 10" PN 16</t>
  </si>
  <si>
    <t>Anclaje a tubería existente incluye 4 tubos metálicos de 2", 2 m de largo c/u y alambre galvanizado</t>
  </si>
  <si>
    <t xml:space="preserve">TOTAL  FILADELFIA </t>
  </si>
  <si>
    <t xml:space="preserve">TOTAL NEIRA </t>
  </si>
  <si>
    <t xml:space="preserve">GRUPO IV CHINCHINA  </t>
  </si>
  <si>
    <t xml:space="preserve">GRUPO VII LA DORADA </t>
  </si>
  <si>
    <t>Localizacion y  Replanteo</t>
  </si>
  <si>
    <t>Roseria y limpieza del area a intervenir</t>
  </si>
  <si>
    <t>Cerramiento en polisombra o yute Verde y  Cinta Plástica y bombones Plásticos. Debidamente fijados</t>
  </si>
  <si>
    <t xml:space="preserve">Desmonte de cerramiento existente incluye cimientos existentes y demás. </t>
  </si>
  <si>
    <t>Demoliciones varias ( Muros en concreto mijones, sardineles etc.)</t>
  </si>
  <si>
    <t xml:space="preserve">Excavaciones en material común </t>
  </si>
  <si>
    <t>CERRAMIENTO</t>
  </si>
  <si>
    <t xml:space="preserve">Cerramiento en malla eslabonada 5 x 5 cal. 10 de H= 2.50m tuberia galv. Curvos  2"tipo cerramiento,Ladrillo Farol de 13 cms ranurado,remate en  Algagia, columnas de 0.15 x 0.20, Viga de cimentacion de 0,25 x 0,40 en concreto reforzado de 3000 psi.acero refuerzo No. 4 y flejes nO. 3 cada 0,15M según diseño establecido a mano alzada, con pintura anticorrosiba y esmalte tipo pintuco. y tubos diagonales en esquinas y otros. </t>
  </si>
  <si>
    <t>Concertina en acero galvanizada, incluye dos varillas de 1/4", soldada electrica; fijadar con alambre galv.cal 13 cada espiral,  para fijar la concertina.  Colocada y fijada en la parte superior del tubo curvo del poste y accesos siguiendo el perímetro.</t>
  </si>
  <si>
    <t>Puerta en tuberia Galv. De 2" tipo cerramiento, con marco en tuberia  de 2" con malla eslabonada cal 10 debidamente asegurada en los contornos con platina, atravesaños longitudinal en centro y diagonales,y  pinturas anticorrosiva gris y esmalte, incluye Pasadores  de acero 3/4" y porta candado. de 3.00 m x 2.30 m dos alas en acceso principal. Según diseño  establecido.</t>
  </si>
  <si>
    <t>Pintura aceite para interperie en superficie metalicas tres manos, en todo el contorno Interior y exterior del cerramiento.incluye postes, Anticorrosivo especial.</t>
  </si>
  <si>
    <t>OBRAS EN CONCRETO</t>
  </si>
  <si>
    <t>Conformación de accesos alrededor de tanques en Concreto de 3000, espesor 0.08 m debidamente dilatado y acolillado. Incluye malla electrosoldada de 4 mm ojo de 15 x 15.</t>
  </si>
  <si>
    <t>Afirmado tipo Sub-base espesor 0.10 m debidamento compactado.</t>
  </si>
  <si>
    <t xml:space="preserve">GRUPO VIII LA DORADA </t>
  </si>
  <si>
    <t>CUBIERTA EN LA PLANTA DE TRAMIENTO AGUA TRATADA DEL LLANO</t>
  </si>
  <si>
    <t>Recubrimiento en Plásticos CAL.6 o similar y colocada en toda el área de la Cubierta para garantizar la proteccion del Interior  de la edificación y proteger los implementos de los laboratorios, productos quimicos utilizados para el procedimiento de tratamiento del agua, y demás elementos para el funcionamiento de la Planta de tratamiento. Etc.</t>
  </si>
  <si>
    <t>Desmonte de tejas tipo colonial AC.de la cubierta existente incluye  elementos de Seguridad, andamios que requiera para el proceso de desmonte, Retiro manual fuera del area del edificio.</t>
  </si>
  <si>
    <t xml:space="preserve">Suministro e Instalación de Cubierta en Tejas tipo  de AC No. 6 y/o 8. Incluye los respectivos Caballetes universal, elementos de Fijación como Ganchos Con tornillo, cambio o modificacion de estructura, y demas que garantice la estabilidad de la  cubierta.  </t>
  </si>
  <si>
    <t>Retiro de material sobrantes de la Cubierta en vehiculo Automotor.</t>
  </si>
  <si>
    <t xml:space="preserve">Demolicion de Cielo raso existente con todo su estructura, incluye retiro local y el cuidado con el área de laboratorios con elementos de protección para garantizar los elementos y equipos existentes.   </t>
  </si>
  <si>
    <t xml:space="preserve">Suministro y colocación de cielo-raso PVC de 8 mm debidamente Instalado con armadura metálica solida y elementos de buena calidad, Incluye todos los elementos necesarios para una correcta Instalación.   </t>
  </si>
  <si>
    <t xml:space="preserve">Reubicacion y construccion de punto electrico a todo costo para interruptores tomas sencillos y dobles etc. </t>
  </si>
  <si>
    <t xml:space="preserve">Suministro e Instalación de Lamparas LED 20 Vatios de Incrustar, Incluye todos los elementos necesarios para una perfecta instalación. </t>
  </si>
  <si>
    <t xml:space="preserve">Localizacion y replanteo de redes (incluye  esquema del sector y localización). </t>
  </si>
  <si>
    <t>Cerramiento en polisombra Yute verde de H=2m, parales en guadua y Cinta Plástica en contorno.-</t>
  </si>
  <si>
    <t xml:space="preserve">Señales preventivas Verticales (Desvio, hombres trabajando, carril ocupado) </t>
  </si>
  <si>
    <t>2.2</t>
  </si>
  <si>
    <t>Demoliciones varias muros en concretos, anclajes y otros</t>
  </si>
  <si>
    <t>Demolición de concreto asfaltico de (0,05 a 0,15 m)</t>
  </si>
  <si>
    <t>Demoliciones de Andenes y Sardinel en concreto hidráulico</t>
  </si>
  <si>
    <t>Afirmado para andenes y zonas duras varias E=0,10 m compactos con rana</t>
  </si>
  <si>
    <t>Sub-base tipo INVIAS,Incluye Proctor modificado, Densidad.debidamente compactado con medio mecánico e= 0,15 m</t>
  </si>
  <si>
    <t>6.3</t>
  </si>
  <si>
    <t>Sustitucion en arena limpia para tuberias</t>
  </si>
  <si>
    <t>ACUEDUCTO</t>
  </si>
  <si>
    <t>Instalacion tuberia PVC-P  de 3". Incluye control y manejo de aguas en zanja.</t>
  </si>
  <si>
    <t xml:space="preserve">Suministro e Instalación de Acometida de 1/2" desde el tubo madre hasta el medidor, Incluye manguera PF+UAD de 1/2", Acoples, collarin 3 x 1/2" y Accesorios que requiera la acometida terminada. </t>
  </si>
  <si>
    <t xml:space="preserve">Instalación de Válvula de 3" </t>
  </si>
  <si>
    <t>Empalmes a tubería existente.</t>
  </si>
  <si>
    <t xml:space="preserve">Pavimento Flexible mezcla caliente E=0.15 m. incluye Imprimación, regado, compactacion con cilindro. </t>
  </si>
  <si>
    <t>Cambio red acueducto trans 1 hasta la calle 5 barrio  renan barco a vivero bucamba con carrera 3 a en el  municipio de la dorada Caldas</t>
  </si>
  <si>
    <t>Cambio red acueducto trans 3a con carreras  4, 4a, 3a y 3  barrio  renan barco frente al supermercado en el  municipio de la dorada Caldas</t>
  </si>
  <si>
    <t>Cambiar laminas externas del casco de la barcaza sobre el rio Magdalena, adecuar la proa y quilla, incluyendo retiro de la misma a tierra firme, realizar soportes y sistemas de anclaje para realizar las reparaciones respectivas y nuevamente llevarla a la ubicación original teniendo en cuenta la alineacion correspondiente</t>
  </si>
  <si>
    <t>Láminas Acero Naval 131 de 2.50 x 6.00 mtrs., para el cambio de lámina laterales , fondo y rediseño de Proa</t>
  </si>
  <si>
    <t>C/U</t>
  </si>
  <si>
    <t>Ángulos en acero al Carbono de 2.00 x ¼ x 6.00 mtrs, para estructura diseño de Proa y compartimento bodegas.</t>
  </si>
  <si>
    <t>Tejas de Zinc # 10 Calibre 30 y Rediseño de Cerramiento, Malla Proa.</t>
  </si>
  <si>
    <t>Cerchas  de 1.1/2” x 4” x 6.00 mtrs. Para alargar cubierta sitio de la Proa.</t>
  </si>
  <si>
    <t xml:space="preserve">Amarres para Teja de Zinc. </t>
  </si>
  <si>
    <t>Docena</t>
  </si>
  <si>
    <t>Global</t>
  </si>
  <si>
    <t xml:space="preserve">Servicio de Retro para alistamiento de terreno donde se va a realizar dichas reparaciones. </t>
  </si>
  <si>
    <t xml:space="preserve">Alineación Barcaza en el sitio de operación. </t>
  </si>
  <si>
    <t>Anticorrosivo Priner Z8, para aplicación exterior e interior.</t>
  </si>
  <si>
    <t>Galon</t>
  </si>
  <si>
    <t>Pintura epoxica aplicación exterior e interior</t>
  </si>
  <si>
    <t>Soldadura 6011 x 1/8</t>
  </si>
  <si>
    <t>Caja</t>
  </si>
  <si>
    <t>Soldadura 7018 x 1/8</t>
  </si>
  <si>
    <t xml:space="preserve">Discos de Corte  de 7” </t>
  </si>
  <si>
    <t>Discos para Pulir de 7” x 1/4</t>
  </si>
  <si>
    <t>Grapas de acero de 7”</t>
  </si>
  <si>
    <t>Pipas de Oxigeno</t>
  </si>
  <si>
    <t>Pipa</t>
  </si>
  <si>
    <t>Acetileno</t>
  </si>
  <si>
    <t>Tubo IMC 4" x 3 Metros</t>
  </si>
  <si>
    <t>Unión IMC 4"</t>
  </si>
  <si>
    <t>conduit flexible liquid tight de 4"</t>
  </si>
  <si>
    <t>Metro</t>
  </si>
  <si>
    <t>Terminal conduit flexible liquid tight de 4"</t>
  </si>
  <si>
    <t>Mano de Obra</t>
  </si>
  <si>
    <t>Cambio red acueducto carrera3 entre calles 22a, 22, 21, 20, 19, 18, 17, y 16 en el  municipio de la dorada Caldas</t>
  </si>
  <si>
    <t>Cambio red acueducto calle 11A entre carreras 12 y 13 frente a hotel los gallos en el municipio de La Dorada Caldas</t>
  </si>
  <si>
    <t>TOTAL   LA DORADA GRUPO VII</t>
  </si>
  <si>
    <t>TOTAL   LA DORADA GRUPO VIII</t>
  </si>
  <si>
    <t>Cambio red acueducto Buenos aires desde el control de buses a orilla de Rio Magdalena en el municipio de La Dorada Caldas</t>
  </si>
  <si>
    <t>Cambio red acueducto carrera 7 entre calles 11a, 10b, y 10 la soledad  en el municipio de La Dorada Caldas</t>
  </si>
  <si>
    <t xml:space="preserve">Losa en concreto reforzado de 1.60 x1.60 x 0,18m acero de refuerzo en doble parrillas No. 4 cada 15 cms. incluye antisol y acelerante. </t>
  </si>
  <si>
    <t>Pavimento Flexible en Mapia incluye Imprimación, regado, compactacion con rodillo o  cilindro. espesor  0,12 m.</t>
  </si>
  <si>
    <t xml:space="preserve">Pavimento en rigido de 3000 Psi de espesor 0,18  en obra incluye Acelerante, Antisol, ensayos de laboratorios </t>
  </si>
  <si>
    <t>2.4</t>
  </si>
  <si>
    <t>Demoliciones en Concreto Asfaltico espesores variables  0,06  a 0,15 m</t>
  </si>
  <si>
    <t xml:space="preserve">Excavaciones en zanja - material Común  0 a 2 m. </t>
  </si>
  <si>
    <t xml:space="preserve">Excavaciones en Material Conglomerado. </t>
  </si>
  <si>
    <t>Suministro e instalcion de Sub-base tipo INVIAS E=0,20 m. incluye ensayos de densidad, protor.</t>
  </si>
  <si>
    <t>Instalacion tuberia corrugada PVC-S  de 160 mm (6"). Incluye manejo de aguas en zanja.</t>
  </si>
  <si>
    <t xml:space="preserve"> Instalacion tuberia corrugada PVC-S  de 250 mm (10").Incluye manejos de aguas en zanja.</t>
  </si>
  <si>
    <t xml:space="preserve"> Instalacion tuberia corrugada PVC-S  de 315 mm (12").Incluye manejos de aguas en zanja.</t>
  </si>
  <si>
    <t xml:space="preserve"> Instalación de tuberia corrugada PVC-S  de 160 mm (6"). Incluye manejo de aguas en zanja.</t>
  </si>
  <si>
    <t>Instalacion tuberia corrugada PVC-S  de 335 mm (14").Incluye manejos de aguas en zanja.</t>
  </si>
  <si>
    <t xml:space="preserve">Losa en concreto reforzado de 1.60 x1.60 x 0,18m acero de refuerzo, doble parrillas No. 4 cada 15 cms. incluye antisol y acelerante. </t>
  </si>
  <si>
    <t>Instalacion de silla yee de 14 x 6".</t>
  </si>
  <si>
    <t xml:space="preserve">Demoliciones en Concreto Asfaltico espesores variables </t>
  </si>
  <si>
    <t xml:space="preserve">Losa en concreto de 3000 psi localizada en la parte superior del Pozo de inspección de 1.40 x 1.40 x 0,18m incluye acero de refuerzo de 1/2" cada 15 cms. una parrilla. </t>
  </si>
  <si>
    <t>Concreto para Anclajes, cabezote, empotramientos, concreto 3000 Psi</t>
  </si>
  <si>
    <t xml:space="preserve">Solados en Concreto 1:3:6 </t>
  </si>
  <si>
    <t>Cabezote de llegada en concreto Ciclopeo  40% en piedra y 60 % en Concreto simple 1:2:4. incluye descole de 2*1.30 *0,12 mts.</t>
  </si>
  <si>
    <t>Acero de refuerzo</t>
  </si>
  <si>
    <t>Kgs</t>
  </si>
  <si>
    <t>Localizacion y replanteo de redes y dragados.</t>
  </si>
  <si>
    <t>Roseria y limpieza</t>
  </si>
  <si>
    <t>Demoliciones en concreto Simple (bases, muros)</t>
  </si>
  <si>
    <t>Otras demoliciones (muros en ladrillo, piedras)</t>
  </si>
  <si>
    <t>MOVIMIENTO DE TIERRAS</t>
  </si>
  <si>
    <t xml:space="preserve">Rectificacion del Cauce, dragado y otras excavaciones y llenos red principal, con maquinaria pesada tipo Retroexcavadora tipo oruga o similar, Incluye transportes, operador, etc.  </t>
  </si>
  <si>
    <t>Horas</t>
  </si>
  <si>
    <t>Sobre acarreo manual de materiales y/o a hombro</t>
  </si>
  <si>
    <t>m3-hm</t>
  </si>
  <si>
    <t>4.2</t>
  </si>
  <si>
    <t>Dispersión de material sobrante por el área, para red domiciliarias.</t>
  </si>
  <si>
    <t>Excavaciones tierra a cielo abierto - material Común y/o  humedo 0 a 2 m</t>
  </si>
  <si>
    <t>Excavacion en Conglomerado</t>
  </si>
  <si>
    <t>6.2</t>
  </si>
  <si>
    <t>Rellenos compactos con material comun de cantera prestamo para sustituciones fondo de la zanja, debidamente compactada en capas de 0,15 m..</t>
  </si>
  <si>
    <t xml:space="preserve">Instalacion tuberia corrugada PVC-S  de 450 mm (20"), incluye manejos de aguas. </t>
  </si>
  <si>
    <t>Instalacion tuberia corrugada PVC-S  de 160 mm (6"). Incluye manejo de Aguas.</t>
  </si>
  <si>
    <t>Instalacion tuberia corrugada PVC-S  de 250 mm (10"). Incluye manejo de Aguas.</t>
  </si>
  <si>
    <t xml:space="preserve">Empalmes a Cámaras d=1.20 m. interior y exterior en concreto de 3000 psi. </t>
  </si>
  <si>
    <t>Cámaras de Inspección D= 1.20 -Concreto simple 21 Mpa espesor de paredes de 0,20 m.</t>
  </si>
  <si>
    <t>Base/ cañuela camara D=1.20 m en concreto.espesor base 0,20 m.</t>
  </si>
  <si>
    <t xml:space="preserve">7.7 </t>
  </si>
  <si>
    <t xml:space="preserve">Suministro e Instalacion Tapa D=0.60m en HF </t>
  </si>
  <si>
    <t>Cajas de Inspeccion de 0,50 x 0,50 x 0,80 incluye tapa reforzada E= 0.10 m.</t>
  </si>
  <si>
    <t xml:space="preserve">Instalación Silletas yees de de 20 x 6" </t>
  </si>
  <si>
    <t>Instalacion de Charnela  de 20" incluye accesorios y elementos de fijacion</t>
  </si>
  <si>
    <t>Instalacion tuberia corrugada PVC-S  de 315 mm (12").Incluye manejos de aguas en zanja.</t>
  </si>
  <si>
    <t>Suministro e instalacion de Sub-base tipo INVIAS E=0,15 m. incluye ensayos de densidad, protor.</t>
  </si>
  <si>
    <t xml:space="preserve">Losa en concreto reforzado de 1.50 x1.50 x 0,18m acero de refuerzo en doble parrillas No. 4 cada 15 cms. incluye antisol y acelerante. </t>
  </si>
  <si>
    <t>Pavimento Flexible mezcla caliente incluye Imprimación, regado, compactacion con cilindro espesor  0,15 m.</t>
  </si>
  <si>
    <t xml:space="preserve">Pavimento en rigido de 3000 Psi de espesor 0,10  en obra incluye Acelerante, Antisol, ensayos de laboratorios </t>
  </si>
  <si>
    <t>Instalacion tuberia corrugada PVC-S  de 250 mm (10").Incluye manejos de aguas en zanja.</t>
  </si>
  <si>
    <t>Instalacion tuberia corrugada PVC-S  de 355 mm (14").Incluye manejos de aguas en zanja.</t>
  </si>
  <si>
    <t>Señales preventivas de hombres trabajando, desvio, peligro, etc.</t>
  </si>
  <si>
    <t>Sumidero doble reja tipo sifon en concreto 21 Mpa   Tapa en HD, Acero de 1" separacion hierro 5 cms a ejes, platina central de refuerzo. según diseño establecido.</t>
  </si>
  <si>
    <t>Demoliciones varias muros en concretos, otros</t>
  </si>
  <si>
    <t>Sub-base tipo INVIAS,Incluye Proctor modificado, Densidad. Compactos con medio mecánico</t>
  </si>
  <si>
    <t>Instalacion tuberia corrugada PVC-S  de 160 mm (6")incluye manejos de agua en zanja</t>
  </si>
  <si>
    <t xml:space="preserve"> Instalacion tuberia corrugada PVC-S  de 250 mm (10") incluye manejo de aguas en zanja.</t>
  </si>
  <si>
    <t xml:space="preserve">Empalmes a Cámaras d=1.20 m </t>
  </si>
  <si>
    <t>Empalmes a Cajas de Inspeccion</t>
  </si>
  <si>
    <t>Sumidero doble reja tipo sifon en concreto 21 Mpa   Tapa en HF y/o concreto reforzado e=0,12m ,reja en  Acero de 1" separacion hierro 5 cms a ejes, platina central de refuerzo. según diseño establecido.</t>
  </si>
  <si>
    <t>Pavimento en rigido de 3000 Psi de espesor 0,18  en obra incluye Acelerante, Antisol, ensayos de laboratorios (flexión) diseño de mezclas.</t>
  </si>
  <si>
    <t xml:space="preserve">Pavimento Flexible mezcla caliente incluye Imprimación, regado, compactacion con cilindro </t>
  </si>
  <si>
    <t>Malla electro Soldada e= 5 mm ojos de 15 x 15 cms Un a malla</t>
  </si>
  <si>
    <t>Señales preventivas metálicas verticales (desvio, hombres trabajando etc.)</t>
  </si>
  <si>
    <t xml:space="preserve"> Instalacion tuberia corrugada PVC-S  de 400 mm (16") incluye manejo de aguas en zanja</t>
  </si>
  <si>
    <t>Losa en concreto reforzado de 1.60 x1.60 x 0,18m,Incluye acero de refuerzo cada 15 cms de 1/2" doble parrilla.</t>
  </si>
  <si>
    <t>Instalacion de silla yee de 16 x 6".</t>
  </si>
  <si>
    <t xml:space="preserve">Suministro,  e instalación de Afirmado  </t>
  </si>
  <si>
    <t>Sub-base tipo INVIAS, espesor 0,20 m.incluye densidades y proctor modificado.</t>
  </si>
  <si>
    <t>Instalacion tuberia corrugada PVC-S  de 160 mm (6").Incluye manejos de aguas</t>
  </si>
  <si>
    <t xml:space="preserve"> Instalacion tuberia corrugada PVC-S  de 315 mm (14") incluye manejo de aguas</t>
  </si>
  <si>
    <t>Empalmes cajas de Inspeccion</t>
  </si>
  <si>
    <t>Cajas de Inpeccion de 0,50 x 0,50 x 0,80, Incluye tapa reforzada</t>
  </si>
  <si>
    <t>Sumidero Transversal  tipo sifon en concreto 21 Mpa   Tapa en HF, Acero de 1" separacion hierro 5 cms a ejes, platina central de refuerzo. según diseño establecido.</t>
  </si>
  <si>
    <t>Losa en concreto reforzado de 1.60 x1.60 x 0,18m Incluye acero de refuerzo No. 4 cada 15 cms doble parrilla.</t>
  </si>
  <si>
    <t>Señalizaciones reglamentarias verticales en lámina soportada en base de concreto.</t>
  </si>
  <si>
    <t>Afirmado   E= 0,08 m</t>
  </si>
  <si>
    <t>Sub-base tipo INVIAS incluye Proctor y densidad  e=0,20 m</t>
  </si>
  <si>
    <t>Instalacion tuberia corrugada PVC-S  de 160 mm (6")</t>
  </si>
  <si>
    <t xml:space="preserve"> Instalacion tuberia corrugada PVC-S  de 355 mm (14")</t>
  </si>
  <si>
    <t>7.5.</t>
  </si>
  <si>
    <t xml:space="preserve">Empalmes a Cajas de Inspección </t>
  </si>
  <si>
    <t>Losa en concreto reforzado de 1.60 x1.60 x 0,18m, Acero de refuerzo No. 4 cada 0,15 m doble Parrilla</t>
  </si>
  <si>
    <t>Localizacion y replanteo de redes (Incl. Levantamiento sector y plano record)</t>
  </si>
  <si>
    <t>Cerramiento en polisombra Yute verde de H=2m, parales en guadua en todo el contorno</t>
  </si>
  <si>
    <t xml:space="preserve">Excavacion en zanja de 2.01 a 3 m - material Común  </t>
  </si>
  <si>
    <t>4.3</t>
  </si>
  <si>
    <t xml:space="preserve">Entibado tipo 2 </t>
  </si>
  <si>
    <t>Afirmado  andenes</t>
  </si>
  <si>
    <t>Sub-base tipo INVIAS  E= 0,20 m incluye densidad y proctor</t>
  </si>
  <si>
    <t>Sustitucion en GRAVA PARA Base y atraques.red Principal.</t>
  </si>
  <si>
    <t xml:space="preserve"> Instalacion tuberia corrugada PVC-S  de 54".Incluye manejos de aguas en zanja.</t>
  </si>
  <si>
    <t xml:space="preserve">Empalmes a Cámaras d=1.60 m </t>
  </si>
  <si>
    <t>Cámaras de Inspección D= 1.60 -Concreto  21 Mpa e=0,25m</t>
  </si>
  <si>
    <t>Base/ cañuela camara D=1.60 m en concreto 3000 psi</t>
  </si>
  <si>
    <t>Tapa en concreto reforzado de 1.60 x1.60 x 0,18m, Incluye Acerode 1/2" cada 0,15 m dos parrillas.</t>
  </si>
  <si>
    <t>Malla electro Soldada e= 5 mm ojos de 15 x 15 cms Una malla</t>
  </si>
  <si>
    <t>Suministro e Instalación deSub-base tipo INVIAS  E= 0,20 m incluye ensayos de densidad y Proctor modificado.</t>
  </si>
  <si>
    <t>Instalacion tuberia corrugada PVC-S  de 160 mm (6"), incluye Manejos de Aguas en zanja.</t>
  </si>
  <si>
    <t xml:space="preserve"> Instalacion tuberia corrugada PVC-S  de 355 mm (14"),Incluye manejos de aguas en zanjas</t>
  </si>
  <si>
    <t>Base/ cañuela camara D=1.20 m en concreto</t>
  </si>
  <si>
    <t>Losa en concreto reforzado de 1.60 x1.60 x 0,18m, Incluye Acerode 1/2" cada 0,15 m dos parrillas.</t>
  </si>
  <si>
    <t>Instalacion de silla yee de 14 x 6"</t>
  </si>
  <si>
    <t>Pavimento en rigido de 4000 Psi de espesor 0,18  en obra incluye Acelerante, Antisol, ensayos de laboratorios (viguetas).</t>
  </si>
  <si>
    <t>Afirmado  andenes  E=0,10 M</t>
  </si>
  <si>
    <t xml:space="preserve">Sub-base tipo INVIAS  E= 0,20 m Incluye ensayos de densidad y proctor </t>
  </si>
  <si>
    <t>Instalacion tuberia corrugada PVC-S  de 160 mm (6"), incluye manejo de aguas en zanja</t>
  </si>
  <si>
    <t xml:space="preserve"> Instalacion tuberia corrugada PVC-S  de 250 mm (10"), incluye manejo de aguas en zanja.</t>
  </si>
  <si>
    <t>Losa en concreto de 4000 psi, Reforzado de 1.60 x1.60 x 0,18m, Incluye Acerode 1/2" cada 0,15 m dos parrillas.</t>
  </si>
  <si>
    <t>Cerramiento en polisombra (yute verde) Cinta Plástica y bombones Plásticos,debidamente fijada al piso</t>
  </si>
  <si>
    <t>Demoliciones en concreto Hidraulico(Cilindro, base, Cañuela)</t>
  </si>
  <si>
    <t>Excavacion en conglomerado</t>
  </si>
  <si>
    <t>Material Sub-Base tipo INVIAS  E= 0,18 m.Incluye ensayos de laboratorio (Proctor, densidad)</t>
  </si>
  <si>
    <t>Afirmado para andenes e= 0.10 m. compavctado.</t>
  </si>
  <si>
    <t>Instalacion tuberia corrugada PVC-S  de 160 mm (6") incluye manejo de aguas dentro la zanja.</t>
  </si>
  <si>
    <t>Instalacion tuberia corrugada PVC-S  de 400 mm (16").Incluye Manejo de aguas en la zanja.</t>
  </si>
  <si>
    <t>Instalacion tuberia corrugada PVC-S  de 250 mm (10").Incluye manejo de aguas en la Zanja.</t>
  </si>
  <si>
    <t>Empalmes a Cámaras d=1.20 m concreto de 3000 psi</t>
  </si>
  <si>
    <t xml:space="preserve">Suministro e Instalacion Tapa D=0.65m en HF,  </t>
  </si>
  <si>
    <t>Cajas de Inspeccion de 0,50 x 0,50 x 0,80 Incluye Tapa con acero de refuerzo</t>
  </si>
  <si>
    <t xml:space="preserve">Instalación de sillas Yee de 16 x 6" </t>
  </si>
  <si>
    <t>Pavimento completo en concreto producido en obra de 4000 psi, incluye (Acelerante + antisol+ densidad y flexión) E=0.18 m</t>
  </si>
  <si>
    <t>Malla electrosoldada de 5 mm de 15 x 15 cm (una malla)</t>
  </si>
  <si>
    <t>Concreto 3000 Psi para Andenes y Rampas  e= 0,08 m</t>
  </si>
  <si>
    <t>Losa en concreto reforzado de 1.50 x1.50x0,18 m Incluye acero de refuerzo cada 15 cms de 1/2" doble parrilla.</t>
  </si>
  <si>
    <t>Acabados en Ceramica, tablon, basldosa etc. Para andenes incluye materiales , material de fijacion fraguado etc.</t>
  </si>
  <si>
    <t>Cerramiento en polisombra o yute H= 2m. Cinta Plástica y bombones Plásticos.Fijado al piso</t>
  </si>
  <si>
    <t xml:space="preserve">Entibado horizontal / vertical tipo 2 </t>
  </si>
  <si>
    <t>Excavación en Conglomerado</t>
  </si>
  <si>
    <t>Material Sub-Base tipo INVIAS  E= 0,18 m</t>
  </si>
  <si>
    <t>Afirmado para andenes e= 0.10 m</t>
  </si>
  <si>
    <t>Instalacion tuberia corrugada PVC-S  de 160 mm (6")Incluye manejo de aguas en la zanja.</t>
  </si>
  <si>
    <t>Instalacion tuberia corrugada PVC-S  de 400 mm (16").Incluye manejo de aguas en la zanja.</t>
  </si>
  <si>
    <t>Instalacion tuberia corrugada PVC-S  de 250 mm (10").Incluye manejom de aguas en la zanja.</t>
  </si>
  <si>
    <t xml:space="preserve">Empalmes a Cámaras d=1.20 m.Concreto de 3000 psi </t>
  </si>
  <si>
    <t xml:space="preserve">Suministro e Instalacion Tapa D=0.60m en HF, cierre de seguridad  </t>
  </si>
  <si>
    <t>Cajas de Inspeccion de 0,50 x 0,50 x 0,80 Incluye tapa y refuerzo.</t>
  </si>
  <si>
    <t>Instalación de sillas Yee de 16 x 6" incluye torton o zuncho para fijar la silla.</t>
  </si>
  <si>
    <t>Pavimento completo en concreto producido en obra de 4000 psi, incluye (Acelerante + antisol) ensayos laboratorio. E=0,18 m</t>
  </si>
  <si>
    <t>Malla electrosoldada de 5 mm de 15 x 15 cm</t>
  </si>
  <si>
    <t>Concreto 3000 Psi para Andenes y Rampas e= 0,08 m</t>
  </si>
  <si>
    <t>Cerramiento en polisombra o Yute h= 2m  Cinta Plástica y bombones Plásticos</t>
  </si>
  <si>
    <t xml:space="preserve">Señalizaciones reglamentarias verticales en lámina + angulo paral, Soportada en base de concreto. </t>
  </si>
  <si>
    <t>Excavación en conglomerado</t>
  </si>
  <si>
    <t>Entibados horizontal/ vertical tipo 1</t>
  </si>
  <si>
    <t>Material Sub-Base tipo INVIAS  e= 0,15 m, Incluye ensayos de laboratorios (densidad, Proctor)</t>
  </si>
  <si>
    <t>Sustitucion en arena limpia para tuberias y atraques</t>
  </si>
  <si>
    <t>Afirmado para andenes E= 0,10 m compactos</t>
  </si>
  <si>
    <t>Instalacion tuberia corrugada PVC-S  de 160 mm (6"), incluye control y manejo de aguas en zanja.</t>
  </si>
  <si>
    <t>Instalacion tuberia corrugada PVC-S  de 315 mm(12") Incluye conctrol y manejo de aguas en zanja</t>
  </si>
  <si>
    <t>Instalacion tuberia corrugada PVC-S  de 250 mm (10"), Incluye control y manejo de aguas en zanja.</t>
  </si>
  <si>
    <t>Empalmes a Cajas de Inspección existentes</t>
  </si>
  <si>
    <t xml:space="preserve">Cámaras de Inspección D=1,20 m concreto 3000 psi paredes E= 1,20m </t>
  </si>
  <si>
    <t>Suministro e Instalación Tapa D= 0,60 m en HF</t>
  </si>
  <si>
    <t>Cajas de Inspeccion de 0,50 x 0,50 x 0,80, incluye tapa en concreto reforzada.</t>
  </si>
  <si>
    <t>Instalación de Sillas yee 12 x 6".</t>
  </si>
  <si>
    <t>Pavimento completo en concreto producido en obra de 3000 Psi, incluye (Acelerante + antisol+ Ensayos de Laboratorios)  E=0,10 m.</t>
  </si>
  <si>
    <t xml:space="preserve">Demolición de estructuras </t>
  </si>
  <si>
    <t>Excavacion  en material común de 0 a 2m</t>
  </si>
  <si>
    <t xml:space="preserve">Suministro e instalación de tapa con aro pozo de inspección en HD  D=0.60cm  </t>
  </si>
  <si>
    <t>Concreto para viga 42MR hecho en obra</t>
  </si>
  <si>
    <t>Muro en bloque de concreto de E=15 cm rellenos con concreto pobre</t>
  </si>
  <si>
    <t>Acero de refuerzo para viga</t>
  </si>
  <si>
    <t>Localizacion y replanteo de redes (Incl. Topografia y plano record detallado)</t>
  </si>
  <si>
    <t>Cerramiento en Cinta plástica, bombones en guadua debidamente pintados H= 2 m, tres hilos de cinta plástica.</t>
  </si>
  <si>
    <t>Demoliciones de pavimentos rigidos, Escaleras</t>
  </si>
  <si>
    <t>MateriaL tipo afirmado andenes</t>
  </si>
  <si>
    <t>Sub-base tipo INVIAS</t>
  </si>
  <si>
    <t>Instalacion tuberia corrugada PVC-S  de 160 mm (6").Incluye manejo de aguas.</t>
  </si>
  <si>
    <t>Instalacion tuberia corrugada PVC-S  de 315 mm (12"), Incluye manejo de aguas.</t>
  </si>
  <si>
    <t xml:space="preserve">Instalacion de silla yee de 12 x 6" </t>
  </si>
  <si>
    <t>9.2</t>
  </si>
  <si>
    <t xml:space="preserve">Pavimento en rigido de 3000 Psi de espesor 0,12  en obra incluye Acelerante, Antisol, ensayo a flexión, diseños de mezclas.  </t>
  </si>
  <si>
    <t>9.3</t>
  </si>
  <si>
    <t>MANZANARES</t>
  </si>
  <si>
    <t>SAMANA</t>
  </si>
  <si>
    <t xml:space="preserve"> Construcción red de alcantarillado y acueducto vía la planta barrio la plazuela en el municipio de samana caldas </t>
  </si>
  <si>
    <t>En material comun de 2,1 a 4m</t>
  </si>
  <si>
    <t>Entibado horizontal</t>
  </si>
  <si>
    <t>Instalacion de tuberia PVC de 3" incluye instalacion de tee,
 codos, accesorios y transporte desde la planta al sitio de trabajo</t>
  </si>
  <si>
    <t>Instalación  tubería PVC corrugada de 12"</t>
  </si>
  <si>
    <t>1.1.</t>
  </si>
  <si>
    <t>Localizacion y replanteo (Incluye topografia y plano record)</t>
  </si>
  <si>
    <t>Excavacion en zanja - Roca - 0.0 a 2.0 Mts</t>
  </si>
  <si>
    <t>REPOSICIÓN DE LA RED DE ACUEDUCTO</t>
  </si>
  <si>
    <t>Instalación de tubería PVC presión RDE 21 de 3" incluye instalación de tees, codos y accesorios y transporte desde la planta al sitio de instalación.</t>
  </si>
  <si>
    <t>Instalacion de acometidas de 1/2" desde el tubo principal de 3" hasta el medidor</t>
  </si>
  <si>
    <t>Instalacion Tuberia PVC Corrugada 305mm (12") para Alcantarillado</t>
  </si>
  <si>
    <t>Instalacion Tuberia PVC Corrugada 150mm (6") para Alcantarillado</t>
  </si>
  <si>
    <t>Instalación empalme pvc corrugado  de 12" X 6".</t>
  </si>
  <si>
    <t>Rellenos Compactados con Material de Cantera de Prestamo. (Afirmado compactado)</t>
  </si>
  <si>
    <t>Suministro, Transporte e Instalacion Subbase p/Pavimentos en Material Granular Seleccionado, compactado</t>
  </si>
  <si>
    <t>Empalmes a camara de inicio y fin en buen estado</t>
  </si>
  <si>
    <t>Suministro, Transporte e Instalacion Tapa HD D=0,60m p/Camara de Inspeccion</t>
  </si>
  <si>
    <t>Suministro e instalacion de Mapia</t>
  </si>
  <si>
    <t>Reposición de andenes en acabados de granito, tablón, ceramico u otro.</t>
  </si>
  <si>
    <t>Instalación tubería PVC corrugada de 12"</t>
  </si>
  <si>
    <t>Cámara de caída D=1,2, H≤3,04, espesor de pared e=0,20 con colchón de piedra pegada e=40cm y boquilla con tapa en cconcreto</t>
  </si>
  <si>
    <t xml:space="preserve">TOTAL MANZANARES </t>
  </si>
  <si>
    <t>TOTAL SAMANA</t>
  </si>
  <si>
    <t xml:space="preserve">TOTAL VICTORIA </t>
  </si>
  <si>
    <t>Reposición de alcantarillado calle 13 entre 8 y 9 y calle 9 entre carreras 11 y 13  en el municipio de Palestina Caldas</t>
  </si>
  <si>
    <t>Cambio red de acueducto calle 13 entre 8 y 9 y calle 9 entre carreras 11 y 13  en el municipio de Palestina Caldas</t>
  </si>
  <si>
    <t>Demoliciones varias</t>
  </si>
  <si>
    <t xml:space="preserve">Cerramiento en malla eslabonada 10 x 10 cal. 10 de H= 2.50m tuberia gal. Curvos  2"tipo cerramiento,Ladrillo Farol de 13 cms ranurado, Algagia, columnas de 0.15 x 0.20 x 0,40 en concreto reforzado, Viga de cimentacion    tipo cerramiento según diseño, incluye acero de refuerzo.  </t>
  </si>
  <si>
    <t>Concertina en acero galvanizada, incluye dos varillas de 1/4"soldada y fijada con alambre galv. Cal. 13.con anticorrosivo para fijar la concertina.  Colocada en la parte superior curvo del poste y accesos.</t>
  </si>
  <si>
    <t>Puerta en tuberia Galv. De 2" con marco en tuberia  de 2" con malla eslabonada cal 10 debidamente asegurada en los contornos con platina, atravesaños longitudinal en centro y diagonales,y  pinturas anticorrosiva gris y esmalte, incluye Pasadores  de acero 3/4" y porta candado. de 3.00 m x 2.30 m dos alas en acceso principal. Según diseño  establecido.</t>
  </si>
  <si>
    <t>Porton metalico en la mina calibre 20 de dos alas con puerta intena de acceso de 0,8mts por 2 metros incluye 2 chapas candado marca Yale incluye transporte e instalacion</t>
  </si>
  <si>
    <t>Reposición de alcantarillado carrera 9 entre calles 8 y 9  en el municipio de Salamina Caldas</t>
  </si>
  <si>
    <t>Reposición de alcantarillado via matadero en el municipio de Salamina Caldas</t>
  </si>
  <si>
    <t>Reposición de alcantarillado carrera 8 con calles 15  en el municipio de Salamina Caldas</t>
  </si>
  <si>
    <t>Reposición de alcantarillado carrera 6A con calles 1 y 2  en el municipio de Salamina Caldas</t>
  </si>
  <si>
    <t>Reposición de alcantarillado carrera 8 con calles 18 Fortunato Gaviria   en el municipio de Salamina Caldas</t>
  </si>
  <si>
    <t>Reposición de alcantarillado en la calle 5 entre carreras 4 a la 5  en el municipio de Salamina</t>
  </si>
  <si>
    <t>Instalación de silletas de 18"x6"</t>
  </si>
  <si>
    <t>Sub base para pavimento y escalas</t>
  </si>
  <si>
    <t>Reposición de alcantarillado carrera 7 con calles 3 y 4  en el municipio de Salamina</t>
  </si>
  <si>
    <t>Reposición de alcantarillado carrera 5 entre calles 6 y 7  en el municipio de Salamina Caldas</t>
  </si>
  <si>
    <t>Cambio red acueducto carrera 6A entre calles 1 a la 2 en el municipio de Salamina  Caldas</t>
  </si>
  <si>
    <t>Cambio red acueducto calle 8 entre carreras 5 y 6  en el municipio de Salamina</t>
  </si>
  <si>
    <t>Suministro e  instalacion de tubo para accionamiento de valvula incluye tapa tipo chorote</t>
  </si>
  <si>
    <t>Cambio red acueducto carrera 7 entre calles 3 y 4 en el municipio de Salamina Caldas</t>
  </si>
  <si>
    <t>Rehabilitación conducción el Uvito diferentes sectores en el municipio de Salamina Caldas</t>
  </si>
  <si>
    <t>Cinta puesta en guaduas</t>
  </si>
  <si>
    <t>Sector Chagualito</t>
  </si>
  <si>
    <t>Sector Boquerón</t>
  </si>
  <si>
    <t>Excavación en material común de 0 a 2m</t>
  </si>
  <si>
    <t>Instalación y termo fusión de tubería de polietileno de 12"  incluye sobre acarro en vehículo al hombro o en mula</t>
  </si>
  <si>
    <t>Termo fusión de portaflanche</t>
  </si>
  <si>
    <t>Empalmes a tubería existente</t>
  </si>
  <si>
    <t xml:space="preserve">Anclajes de empalmes con tubería galvanizada de 2" y alambre </t>
  </si>
  <si>
    <t>Sector Pósito</t>
  </si>
  <si>
    <t>Suministro e instalación de 1.5 mts de tubería de acero al carbón de 12" cedula 40</t>
  </si>
  <si>
    <t>Suministro y soldadura de brida a tee para instalar válvula de purga bridada</t>
  </si>
  <si>
    <t>Instalación de válvula de 3" bridada</t>
  </si>
  <si>
    <t>Sector desde  Pósito hasta el desarenador</t>
  </si>
  <si>
    <t>Instalación de tubería PVC de 12" incluye sobre acarro en vehículo al hombro o en mula</t>
  </si>
  <si>
    <t xml:space="preserve">Recubrimiento de tubería en concreto y viguetas cada 2 metros </t>
  </si>
  <si>
    <t>Sobre acarreo en vehículo no automotor (al hombro o en mula)</t>
  </si>
  <si>
    <t>Tn/Km</t>
  </si>
  <si>
    <t>Acero de refuerzo para vigas</t>
  </si>
  <si>
    <t>Muro en tierra cemento con lonas con protección UV</t>
  </si>
  <si>
    <t>Cambio desagüe desarenador</t>
  </si>
  <si>
    <t>Instalación e tubería PVC corrugada de 10" incluye sobre acarreo en vehículo al hombro o en mula</t>
  </si>
  <si>
    <t>Cámara de caída D=1,2, H≤3,04, espesor de pared e=0,20 con colchón de piedra pegada e=40cm y boquilla incluye sobre acarro en vehículo al hombro o en mula</t>
  </si>
  <si>
    <t>Suministro e instalación de tapa con aro pozo de inspección en HF  D=0.60cm  incluye sobre acarro en vehículo al hombro o en mula</t>
  </si>
  <si>
    <t>Construcción de bases y Cañuelas incluye sobre acarro en vehículo al hombro o en mula</t>
  </si>
  <si>
    <t>Viaducto longitud 43.5 mts</t>
  </si>
  <si>
    <t xml:space="preserve">Excavacion en material comun seco de 2 mt a 2mts </t>
  </si>
  <si>
    <t>m</t>
  </si>
  <si>
    <t>Concreto de 24.5 Mpa (3500  psi) (produccion)</t>
  </si>
  <si>
    <t xml:space="preserve">Solado en concreto de 10.3 Mpa </t>
  </si>
  <si>
    <t>Acero Fy= 60.000 PSI d&gt;1/4"</t>
  </si>
  <si>
    <t>Flejes acero Fy= 60.000 psi</t>
  </si>
  <si>
    <t>Cable de acero estructural 30mm incluye abrazadera</t>
  </si>
  <si>
    <t>Platina de soporte de soporte 0.30*0.40*5/8" incluye pernos</t>
  </si>
  <si>
    <t xml:space="preserve">Acarreo en bestia fuerte pendiente </t>
  </si>
  <si>
    <t>Sobre acarreo a mas de 8 kilometro</t>
  </si>
  <si>
    <t>m3-kl</t>
  </si>
  <si>
    <t>Viaducto longitud 24.6 mts</t>
  </si>
  <si>
    <t xml:space="preserve">Excavacion en material comun seco de 0 mt a 2mts </t>
  </si>
  <si>
    <t xml:space="preserve">Limpieza de canal </t>
  </si>
  <si>
    <t>Suministro e instalación de reja para bocatoma de 2.1 mts por 0.45 mts en Angulo de 1" y 1/2" por 1/4" y varilla de 1"  incluye sobre acarro en vehículo al hombro o en mula</t>
  </si>
  <si>
    <t>Suministro de válvulas compuerta deslizante  de 12" con pasamuro, vástago de 3 mts, torre  y rueda de manejo incluye sobre acarro en vehículo al hombro o en mula (verificar medida de vastago en terreno)</t>
  </si>
  <si>
    <t>Sobre acarreo tuberia en vehículo no automotor (al hombro o en mula)</t>
  </si>
  <si>
    <t>Cerramiento con bombones y cinta de señalizacion</t>
  </si>
  <si>
    <t>Suministro transporte e instalcion Señal preventiva y reglamentaria SPO (1,2,3,4,5,6)</t>
  </si>
  <si>
    <t>Instalación de valla institucional 2x4 según diseño de Empocaldas</t>
  </si>
  <si>
    <t>DEMOLCIONES</t>
  </si>
  <si>
    <t>Corte con disco abrasivo concreto o asfalto</t>
  </si>
  <si>
    <t>Demolición de estructuras en concreto o asfaltico Incluye andenes, gradería, cañuelas y camaras</t>
  </si>
  <si>
    <t>Escvación en conglomerado de 0 a 2 m</t>
  </si>
  <si>
    <t>ESTRUCTURAS DE ALCANTARILLADO</t>
  </si>
  <si>
    <t>Instalación de tubería PVC de 18"</t>
  </si>
  <si>
    <t>Instalación de silletas de 18"x6" incluye suministro adhesivo</t>
  </si>
  <si>
    <t>Suministro e instalación de tapa con aro pozo de inspección en HF  D=0.60cm  tráfico pesado</t>
  </si>
  <si>
    <t>Emplame a camara existente</t>
  </si>
  <si>
    <t>Llenos con material del sitio</t>
  </si>
  <si>
    <t>Llenos con material de prestamo</t>
  </si>
  <si>
    <t xml:space="preserve">Sub base compactada para pavimento tipo INVIAS  e = 0,15 </t>
  </si>
  <si>
    <t>Suministro e instalación de concreto MR 42 hecho en obra</t>
  </si>
  <si>
    <t>Suministro e instalación de concreto de 3000 psi para andenes</t>
  </si>
  <si>
    <t xml:space="preserve">Suministro e instalación de concreto de 3000 psi para canales en concreto </t>
  </si>
  <si>
    <t>Suministro e instalación de sardinel en concreto</t>
  </si>
  <si>
    <t>ACERO DE REFUERO</t>
  </si>
  <si>
    <t>Suministro e instalación de acero de refuerzo.</t>
  </si>
  <si>
    <t>Suministro e instalación de malla electrosoldada Q5</t>
  </si>
  <si>
    <t>Suministro e instalación de reja para desagues de aguas lluvias con ancho de 0,50 m, en angulo de  11/2"*3/16" y barrroles en 7/8" cada 5 cms, incluye instalación, marco y marco de apoyo sobre canal.</t>
  </si>
  <si>
    <t xml:space="preserve">TOTAL RIOSUCIO </t>
  </si>
  <si>
    <t>Instalacion Tuberia PVC Corrugada 315mm (12") para Alcantarillado</t>
  </si>
  <si>
    <t>SUPIA</t>
  </si>
  <si>
    <t>Instalacion Tuberia PVC Corrugada 20") para Alcantarillado</t>
  </si>
  <si>
    <t>Instalación empalme pvc corrugado  de 20 X 6".</t>
  </si>
  <si>
    <t xml:space="preserve">GRAN TOTAL CHINCHINA </t>
  </si>
  <si>
    <t xml:space="preserve">TOTAL SUPIA </t>
  </si>
  <si>
    <t>Construcción red de acueducto Parcelación campestre Las Margaritas I Fase en el municipio de Risaralda Caldas</t>
  </si>
  <si>
    <t>Cerramiento con bombones y cinta</t>
  </si>
  <si>
    <t>Instalación tubería de polietileno con termo fusión de 3"</t>
  </si>
  <si>
    <t>Instalación tubería de polietileno con termo fusión de 4"</t>
  </si>
  <si>
    <t>Termo fusión de codo</t>
  </si>
  <si>
    <t>Termo fusión de reducciones</t>
  </si>
  <si>
    <t>RISARALDA</t>
  </si>
  <si>
    <t>TOTAL RISARALDA</t>
  </si>
  <si>
    <t xml:space="preserve">Instalacion de valla institucional 2x4 ( para todos los tramos) </t>
  </si>
  <si>
    <t xml:space="preserve">Acompañamiento social durante toda la obra ( 1 TRABAJADORA para todos los tramos) </t>
  </si>
  <si>
    <t xml:space="preserve">TOTAL GRUPO III ARAUCA BELALCAZAR VITERBO  PALESTINA </t>
  </si>
  <si>
    <t xml:space="preserve">SUB TOTAL  PALESTINA </t>
  </si>
  <si>
    <t xml:space="preserve">GRAN TOTAL GRUPO III  ARAUCA- BELALCAZAR- VITERBO - PALESTINA </t>
  </si>
  <si>
    <t xml:space="preserve">TOTAL GRUPO V FILADELFIA NEIRA RIOSUCIO SUPIA RISARALDA </t>
  </si>
  <si>
    <t xml:space="preserve">GRUPO VI LA DORADA </t>
  </si>
  <si>
    <t>TOTAL   LA DORADA GRUPO VI</t>
  </si>
  <si>
    <t xml:space="preserve">TOTAL  GRUPO IX MANZANARES - SAMANA - VICTORIA </t>
  </si>
  <si>
    <t xml:space="preserve">GRUPO IX MANZANARES- SAMANA - VICTORIA </t>
  </si>
  <si>
    <t xml:space="preserve">TOTAL GRUPO X SALAMINA </t>
  </si>
  <si>
    <t xml:space="preserve">GRUPO X SALAMINA </t>
  </si>
  <si>
    <t>Reposición de alcantarillado calle 3B entre carreras 7 y 8 en el municipio de Chinchina Caldas</t>
  </si>
  <si>
    <t xml:space="preserve">Instalacion de valla institucional 2x4 ( para todos los tramos de arauca ) </t>
  </si>
  <si>
    <t xml:space="preserve">GRUPO V FILADELFIA - NEIRA RIOSUCIO SUPIA  RISARALDA </t>
  </si>
  <si>
    <t>Reposición de alcantarillado carrera 7  con calles 7 y 8  en el municipio de Aguadas Caldas</t>
  </si>
  <si>
    <t>Reposición de alcantarillado carrera 1 entre calles 1 a la 3  en el corregimiento de  Arma municipio de Aguadas Caldas</t>
  </si>
  <si>
    <t>Entibado Vertical Tipo II</t>
  </si>
  <si>
    <t>Cambio red acueducto  carrera 7 entre calles 7 y 8 en el municipio de Aguadas Caldas</t>
  </si>
  <si>
    <t>Instalacion de valla institucional 2x4</t>
  </si>
  <si>
    <t xml:space="preserve">Acompañamiento social durante toda la obra ( 1 TRABAJADORA para todos los tramos)  incluyendo arma </t>
  </si>
  <si>
    <t xml:space="preserve">Instalacion de valla institucional 2x4 ( para todos los tramos)  incluye arma </t>
  </si>
  <si>
    <t xml:space="preserve">Acompañamiento social durante toda la obra ( 1 TRABAJADORA )  </t>
  </si>
  <si>
    <t xml:space="preserve">Instalacion de valla institucional 2x4 </t>
  </si>
  <si>
    <t xml:space="preserve">GRUPO III ARAUCA BELALCAZAR  VITERBO   PALESTINA </t>
  </si>
  <si>
    <t>Instalación empalme pvc corrugado  de 315mm x 160 mm  (12"x6")</t>
  </si>
  <si>
    <t>Evacuacion de Escombros y Sobrantes en vehiculo automotor</t>
  </si>
  <si>
    <t>Instalacion de tuberia de polietileno  de 3"  por termofusión</t>
  </si>
  <si>
    <t>Instalacion de tuberia de polietileno  de 6"  por termofusión</t>
  </si>
  <si>
    <t xml:space="preserve">Anclajes  a tuberia existente incluye Pilotes de Diámetro 1"  L = 1,50m </t>
  </si>
  <si>
    <t>Cambio red acueducto y construcción tapas box cuolver sector carrilera talleres en el corregimiento de Arauca  municipio de Palestina Caldas</t>
  </si>
  <si>
    <t>Suministro  e instalación de tubería de 8" contapa tipo chorote para accionamiento de valvula</t>
  </si>
  <si>
    <t xml:space="preserve"> Suministro e instalacion Tapas metalicas en HF para acceso a box cuolver</t>
  </si>
  <si>
    <t>Reposición de alcantarillado carrera 8 entre calles 5 a  la 6  en el municipio de Viterbo Caldas</t>
  </si>
  <si>
    <t>Cerramiento plantas de bombeo La Florida y Carolas en el municipio de Palestina</t>
  </si>
  <si>
    <t xml:space="preserve">Instalación de tubería de polietileno de 8" PN 16 por termofusión  Incluye transporte hasta el sitio a instalar </t>
  </si>
  <si>
    <t xml:space="preserve">Instalación de porta flanche de 8" PN 16 por termofusión  Incluye transporte hasta el sitio a instalar </t>
  </si>
  <si>
    <t>Instalación de tubería de polietileno por termofusión  de 10" PN 16 incluye sobre acarreo en vehiculo y al hombro</t>
  </si>
  <si>
    <t xml:space="preserve">Empalme a tubería existente incluye  la instalaciójn de reducciones </t>
  </si>
  <si>
    <t>PRELIMINARRES</t>
  </si>
  <si>
    <t>Demoliciones de andenes y pavimentos en concreto</t>
  </si>
  <si>
    <t>Corte mecanizado de pavimentos</t>
  </si>
  <si>
    <t>Excavación en conglomerado o roca suelta de 0,0 a 2,0 mts.</t>
  </si>
  <si>
    <t xml:space="preserve">Transporte e instalación de tubería PVC de 2" </t>
  </si>
  <si>
    <t>Transporte e instalación de Tee de 4*2"</t>
  </si>
  <si>
    <t>UN</t>
  </si>
  <si>
    <t>Suministro transporte e instalación de tapon de 2"</t>
  </si>
  <si>
    <t>Transporte e instalación de acometida desde el tubo principal de 2" hasta cada medidor  (Incluye empalme y puesta en funcionamiento de cada domiciliaria).</t>
  </si>
  <si>
    <t>Suministro transporte e instalación de afirmado compactado</t>
  </si>
  <si>
    <t>Sustitución en Arena limpia para Tuberías</t>
  </si>
  <si>
    <t>Evacuación de Escombros y Sobrantes en vehiculo automotor (Incluye permiso de utilización de escombrera)</t>
  </si>
  <si>
    <t>CONCRETO</t>
  </si>
  <si>
    <t>Concreto para pavimento MR 42 (Incluye antisol)</t>
  </si>
  <si>
    <t>ACERO</t>
  </si>
  <si>
    <t xml:space="preserve">Suministro e insalación de canastilla de apoyo dovelas en 5mm </t>
  </si>
  <si>
    <t xml:space="preserve">Suministro e instalación de acero para dovelas y pasadores </t>
  </si>
  <si>
    <t>Cerramiento con tela verde 1,8 m de altura  y soportes en guadua cada 2 metros</t>
  </si>
  <si>
    <t>Suministro trasnporte e instalación de señal preventiva y reglamentaria</t>
  </si>
  <si>
    <t>Suministro e instalación de valla institucional de 2*4</t>
  </si>
  <si>
    <t>Servicio de Grua para sacar Barcaza, a terreno firmes y terminada dichas reparaciones, volverla al sitio</t>
  </si>
  <si>
    <t xml:space="preserve">Cerramiento con bombones y cinta de señalización </t>
  </si>
  <si>
    <t xml:space="preserve"> Instalacion tuberia corrugada PVC-S  de 250 mm (16"). Incluye manejos de aguas en zanja.</t>
  </si>
  <si>
    <t xml:space="preserve"> Instalacion tuberia corrugada PVC-S  de 355 mm (14"), incluye manejo de aguas en zanja.</t>
  </si>
  <si>
    <t>Instalacion de silla yee de 14 x 6"incluye aditivos</t>
  </si>
  <si>
    <t>Retiro de sobrantes y desperdicio de demolicion en Vehículo Automotor tipo volqueta.</t>
  </si>
  <si>
    <t>Concreto para pavimento MR 42 hecho en obra</t>
  </si>
  <si>
    <t>Instalación de baypass para unir la conducción del Uvito y Chagualito</t>
  </si>
  <si>
    <t>Instalación y termo fusión de tubería de polietileno de 12"  incluye sobre acarreo en vehículo al hombro o en mula</t>
  </si>
  <si>
    <t xml:space="preserve">Caisson D= 1 mts incluye excavacion manual y concreto </t>
  </si>
  <si>
    <t xml:space="preserve">Concreto de 24.5 Mpa (3500  psi) (produccion) </t>
  </si>
  <si>
    <t>Corte de lamina existente</t>
  </si>
  <si>
    <t>Soldadura de lamina nueva( dos cordones internos y dos externos)</t>
  </si>
  <si>
    <t>Reparacion de estructura compartimentos bodegas.</t>
  </si>
  <si>
    <t>Desmonte y montaje de cubierta.</t>
  </si>
  <si>
    <t>Desmonte y montaje de cerramiento</t>
  </si>
  <si>
    <t>Elaboracion y rediseño de cubierta proa</t>
  </si>
  <si>
    <t>Elaboracion y rediseño de cerramiento de proa</t>
  </si>
  <si>
    <t>elaboracion de estructura y compartimientos proa</t>
  </si>
  <si>
    <t xml:space="preserve">ITEM </t>
  </si>
  <si>
    <t xml:space="preserve">UNIDAD </t>
  </si>
  <si>
    <t xml:space="preserve">CANTIDAD </t>
  </si>
  <si>
    <t xml:space="preserve">VR UNIT </t>
  </si>
  <si>
    <t xml:space="preserve">VR TOTAL </t>
  </si>
  <si>
    <t>Sustitucion en material granular para base tuberias</t>
  </si>
  <si>
    <t>Instalacion tuberia Polietileno de 10". Incluye control y manejo de aguas en zanja.</t>
  </si>
  <si>
    <t xml:space="preserve">Suministro e Instalación de Acometida de 1/2" desde el tubo madre hasta el medidor, Incluye manguera PF+UAD de 1/2", Instalacion Acoples, soldadura silleta 10 x 1/2" y Accesorios que requiera la acometida terminada. </t>
  </si>
  <si>
    <t xml:space="preserve">Soldadura de 10 x 2 Polietileno </t>
  </si>
  <si>
    <t>Soldaduras porta flanches</t>
  </si>
  <si>
    <t>Suministro e Instación de Anclajes en concreto incluye Tuberia Galvanizada de 2" L=1,50 m  Alambre galv. Torton debidamente anclada.</t>
  </si>
  <si>
    <t xml:space="preserve">Pavimento en rigido de 3000 Psi de espesor 0,20 m  en obra incluye Acelerante, Antisol, ensayos de laboratorios </t>
  </si>
  <si>
    <t>Adecuacion de Andenes y Rampas  e= 0,10 m Concreto de 3000 Psi.</t>
  </si>
  <si>
    <t>1,1</t>
  </si>
  <si>
    <t>Rocería y limpieza</t>
  </si>
  <si>
    <t>Erradicación de palos de café, incluye desbrace, corte estración de raíz y retiro</t>
  </si>
  <si>
    <t>Erradicación de palos de plátano</t>
  </si>
  <si>
    <t>Localización y replanteo (incluye plano record y diligenciamiento de plantillas en hoja de calculo)</t>
  </si>
  <si>
    <t>Comisión de Topografía</t>
  </si>
  <si>
    <t>día</t>
  </si>
  <si>
    <t>2,1</t>
  </si>
  <si>
    <t>Excavación en Zanja/Cielo Abierto - Material Común - 0.0 a 2.0 m</t>
  </si>
  <si>
    <t>2,2</t>
  </si>
  <si>
    <t>Excavación en Zanja/Cielo Abierto - Material Común - 2.01 a 4.00 m</t>
  </si>
  <si>
    <t>2,3</t>
  </si>
  <si>
    <t>Excavación en Zanja/Cielo Abierto - Material Común - 4.01 a 6.0 m</t>
  </si>
  <si>
    <t>2,4</t>
  </si>
  <si>
    <t>Excavación en Zanja/Cielo Abierto - Conglomerado - 0.0 a 2.0 m</t>
  </si>
  <si>
    <t>2,5</t>
  </si>
  <si>
    <t xml:space="preserve">Excavación en Zanja/Cielo Abierto - Conglomerado - 2.01 a 4.00 m         </t>
  </si>
  <si>
    <t>2,6</t>
  </si>
  <si>
    <t>Excavación en Zanja/Cielo Abierto - Material Conglomerado - 4.01 a 6.0 m</t>
  </si>
  <si>
    <t>2,7</t>
  </si>
  <si>
    <t>Excavación para Cámaras - Material Común - 0.0 a 2.0 m</t>
  </si>
  <si>
    <t>2,8</t>
  </si>
  <si>
    <t>Excavación para Cámaras - Material Conglomerado - 0.0 a 2.0 m</t>
  </si>
  <si>
    <t>2,9</t>
  </si>
  <si>
    <t>Excavación para Cámaras - Material Conglomerado - 2.01 a 4.0 m</t>
  </si>
  <si>
    <t>2,10</t>
  </si>
  <si>
    <t>Excavación para Cámaras - Material Común - 4.01 a 6.0 m</t>
  </si>
  <si>
    <t>2,11</t>
  </si>
  <si>
    <t>Excavación para Cámaras - Material Común - 2.0 a 4.0 m</t>
  </si>
  <si>
    <t>2,12</t>
  </si>
  <si>
    <t>Conformación de taludes con sistema manual (Tierra)</t>
  </si>
  <si>
    <t>2,13</t>
  </si>
  <si>
    <t>Suministro, Transporte e Instalación Sustitución en Arena Limpia</t>
  </si>
  <si>
    <t>2,14</t>
  </si>
  <si>
    <t>Relleno en Material Seleccionado Proveniente de la Excavación Compactado</t>
  </si>
  <si>
    <t>2,17</t>
  </si>
  <si>
    <t>Retiro y disposicion de escombros y sobrantes en sitio</t>
  </si>
  <si>
    <t>INSTALACIÓN TUBERÍA Y CÁMARAS</t>
  </si>
  <si>
    <t>Suministro, Transporte e Instalación Cámara Circular de Inspección/Caída D=1.20 m. en Concreto Clase II. e=0,25m</t>
  </si>
  <si>
    <t>Suministro, Transporte e Instalación Base-Cañuela Cámara Circular Inspeccion D=1.20 m en Concreto Clase II</t>
  </si>
  <si>
    <t>Tapa para camara en concreto, incluye acero de refuerzo. Via Peatonal</t>
  </si>
  <si>
    <t>Concreto de 3.000 P.S.I. para tapa de cámaras de 1.60 x 1.60 m. y 0.15 m. de espesor</t>
  </si>
  <si>
    <t>Transporte e Instalación Tubería PVC Corrugada de 315 mm (12") Unión Caucho para Alcantarillado. Incluye sobreacarreo al hombro y/o mula a más de 80 m</t>
  </si>
  <si>
    <t>Suministro, Transporte e Instalación de Acero de Refuerzo de ¼" a 1¼" de 420 Mpa (4200 Kg/cm2). Incluye sobreacarreo al hombro y/o mula a más de 80 m</t>
  </si>
  <si>
    <t>Costal de tierra para contencion de relleno</t>
  </si>
  <si>
    <t>Sobreacarreo y transporte del concreto requerido en obra al hombro y/o mula - acarreos a más de 80 m</t>
  </si>
  <si>
    <t>m3-Hm</t>
  </si>
  <si>
    <t>VIADUCTOS METÁLICOS</t>
  </si>
  <si>
    <t xml:space="preserve">Excavación en material común </t>
  </si>
  <si>
    <t>Pilotines en concreto. Diámetro 0.350 m. Incluye concreto f'c = 21 Mpa, Incluye Perforación y Refuerzo (10 Kg/ml). Incluye sobreacarreo del acero al hombro y/o mula a más de 80 m</t>
  </si>
  <si>
    <t>Solado de limpieza 2000 psi e=5cm</t>
  </si>
  <si>
    <t>Concreto viga cabezal f'c = 21 Mpa</t>
  </si>
  <si>
    <t>Kg</t>
  </si>
  <si>
    <t>Estructura metálica para viaducto. Incluye silletas, acabado con base epóxica y esmalte epóxico. Incluye sobreacarreo al hombro y/o mula a más de 80 m</t>
  </si>
  <si>
    <t>Lámina perimetral de protección tubería, espesor de 1.2 mm galvanizada y pintada</t>
  </si>
  <si>
    <t>TRATAMIENTO ESTABILIZACIÓN DE TALUDES</t>
  </si>
  <si>
    <t>Tratamiento Tipo 1 - Trincho en guadua</t>
  </si>
  <si>
    <t>Trincho Provisional para retención de Material</t>
  </si>
  <si>
    <t xml:space="preserve">Entibado continuo tipo 2 </t>
  </si>
  <si>
    <t>Cambio de red de acueducto en la carrera 3 calle 13, 14, 15 sector del habano municipio de aguadas</t>
  </si>
  <si>
    <t>Instalacion tuberia corrugada PVC-S  18".Incluye manejos de aguas en zanja.</t>
  </si>
  <si>
    <t>Instalacion de silla yee de 18 x 6".</t>
  </si>
  <si>
    <t>Reposición de alcantarillado calle 3 entre carreras 2 a la 3 en el municipio de Anserma  Caldas</t>
  </si>
  <si>
    <t>Construcción interceptores - colectores PSMV Belalcazar - etapa 2 tramo cámara desde la vereda la cristalina finca el mirador hasta el sector del matadero municipal</t>
  </si>
  <si>
    <t>reposición y optimización de alcantarillado en la calle 9 carrera 10 y 11 sector clinica armony. municipio de la dorada, caldas.- ( tutela 2018-00507-00)</t>
  </si>
  <si>
    <t>Construcción y optimización de alcantarillado en la calle 1  carreras 6  y  7  barrio las   villas.  Municipio de la dorada, caldas.-</t>
  </si>
  <si>
    <t>Reposición,  optimización de alcantarillado  en la carrera 13  calle 17 y 18  callejón, municipio de la dorada, caldas.-</t>
  </si>
  <si>
    <t>Construcción y optimización de alcantarillado  en la calle  7a  carreras  7a  y 7  perímetro urbano del  municipio de la dorada, caldas</t>
  </si>
  <si>
    <t>Obras civiles varias, recuperación de humedal, rectificación y dragad0 de canal existente en el sector de bucamba, finca el playón del municipio de la dorada, caldas.-</t>
  </si>
  <si>
    <t xml:space="preserve"> Reposición y optimización de alcantarillado  en la carrera  5 etapa magisterio, frente  al  polideportivo. Municipio de la dorada, caldas.-</t>
  </si>
  <si>
    <t>Reposición y optimización de alcantarillado en la calle 18a carreras 8,diagonal a la calle 19b. Barrio las cruces, municipio de la dorada, caldas</t>
  </si>
  <si>
    <t xml:space="preserve">Reposición y optimización de alcantarillado  en la carrera 2 calle 12 y 13,  sector centro  municipio de la dorada, caldas.- </t>
  </si>
  <si>
    <t xml:space="preserve">Reposición y optimización de alcantarillado en la carrera 1 calles 16 y 17, sector centro municipio de la dorada, caldas.-   </t>
  </si>
  <si>
    <t>reposicion y optimización de la red de alcantarillado calle 17 carrera 8  a 9, barrio el   cabrero,  en el municipio de la dorada</t>
  </si>
  <si>
    <t>reposición y optimización del alcantarillado, carrera 3 calles  10 a 11, y  obras civiles para  construcción de sumidero transversal en la calle 17 carrera 6  sector centro el municipio de la dorada caldas</t>
  </si>
  <si>
    <t>reposicion y optimización del  alcantarillado, carrera 4 calles  9 a 10, barrio los alpes en  el municipio de la dorada, caldas.-</t>
  </si>
  <si>
    <t>reposicion y optimizacion del  alcantarillado en la carrera 7 entre calles  4  a  7a,  en el   barrio  corea,  municipio de la dorada</t>
  </si>
  <si>
    <t>reposicion y optimizacion de alcantarillado del tramo de la carrera 8 calles 13 y 14  municipio de la dorada, caldas.-</t>
  </si>
  <si>
    <t>reposicion y optimizacion de alcantarillado tramo calle 13 carreras 3 y 4, barrio centro  municipio de la dorada, caldas</t>
  </si>
  <si>
    <t xml:space="preserve">reposición y optimización de la red de alcantarillado, localizado en la carrera 13a entre calles 13 a 14 barrio sara lópez, municipio de la dorada, caldas.- </t>
  </si>
  <si>
    <t xml:space="preserve"> Construcción pared lateral  caja del box culvert de las ferias en el patio de la iglesia divino niño municipio de la dorada caldas
</t>
  </si>
  <si>
    <t>obras civiles varias y cambio de cubierta en teja a.c. no. 6 y/o  8 en la planta de tratamiento de agua potable del llano y obras para  estabilizar el talud y el poste electrico, localizado en la planta de tratamiento de agua potable de la melissa, en el municipio de la dorada, caldas</t>
  </si>
  <si>
    <t>cambio de red de acueducto en la carrera  7 entre calles  6  a  7 - municipio de la dorada, caldas</t>
  </si>
  <si>
    <t>reposición y optimizacion de alcantarillado en la carrera 3 calle 7a via peatonal, acceso al centro cultural, municipio de manzanares, caldas</t>
  </si>
  <si>
    <t xml:space="preserve"> Reposición y optimizacion de alcantarillado. localizado en la carrera 9 carrera 10 callejon, vía al cementerio. municipio de neira, caldas.-</t>
  </si>
  <si>
    <t>Reposición y optimizacion de alcantarillado. carrera 10  calles 6,5, calle real. municipio de  neira, caldas</t>
  </si>
  <si>
    <t>Reposicion de la red de acueducto y alcantarillado en la calle 32 carrera 10 y 11  en el municipio de supia caldas</t>
  </si>
  <si>
    <t>Reposicion de la red de acueducto y alcantarillado en la carrera 34 calles 6 y 7   en el municipio de supia caldas</t>
  </si>
  <si>
    <t>Reposición de la red de acueducto y alcantarillado en la calle 7 entre carreras  6 y 7   en el municipio de victoria caldas</t>
  </si>
  <si>
    <t>Reposición de la red de acueducto en la carrera 6 entre calles 8 y 9 en el municipio de victoria caldas</t>
  </si>
  <si>
    <t>Reposición y optimización alcantarillado en la cancha de futbol del municipio de victoria caldas</t>
  </si>
  <si>
    <t>reposición y optimización del  alcantarillado colector carrera 10 entre calles  18 a la 15, y calle 15 entre carreras 10 y 8 segunda fase  en el  municipio de la dorada</t>
  </si>
  <si>
    <t>Localizacion  de estructuras de contención</t>
  </si>
  <si>
    <t>2.1.</t>
  </si>
  <si>
    <t>Excavaciones en material Común de 0  a  2 m</t>
  </si>
  <si>
    <t>2.2.</t>
  </si>
  <si>
    <t>Excavaciones en material Coglomerado</t>
  </si>
  <si>
    <t>RELLENOS COMPACTOS</t>
  </si>
  <si>
    <t xml:space="preserve">Relleno Apisonado de material de excavación </t>
  </si>
  <si>
    <t xml:space="preserve">TRANSPORTES MANUAL </t>
  </si>
  <si>
    <t>Transporte de material a hombro u otro medio, para conformar la Vía donde se presento el fallo.</t>
  </si>
  <si>
    <t xml:space="preserve">DEMOLICIONES </t>
  </si>
  <si>
    <t xml:space="preserve">Demoliciones  varias </t>
  </si>
  <si>
    <t>TRINCHOS</t>
  </si>
  <si>
    <t>5.1.</t>
  </si>
  <si>
    <t xml:space="preserve">Suministros, construccion de trincho en Guadua parales de 2 m de altura  visible 1.20 m, guaduas horizontales, fijada con alambre galvanizado cal. 13, guaduas debidamente inmunizadas. </t>
  </si>
  <si>
    <t xml:space="preserve">Estabilización de talud mediante trinchos en guadua y llenos para conformar la vía, sector la floresta finca la Moravia, municipio de Aránzazu, caldas. - (conducción Chamberí  Filadelfia)  </t>
  </si>
  <si>
    <t>Reposición de alcantarillado carrera 4 con calles 3 y 4  en el municipio de Salamina</t>
  </si>
  <si>
    <t>Cambio red acueducto carrera 4 entre calles 3 y 4 en el municipio de Salamina Caldas</t>
  </si>
  <si>
    <t>Concreto para pavimento MR = 42 hecho en obra</t>
  </si>
  <si>
    <t>Concreto para pavimento MR42 hecho en obra</t>
  </si>
  <si>
    <t>Concreto para pavimento  MR42 hecho en obra</t>
  </si>
  <si>
    <t>Reposición y optimización de alcantarillado carrera 10 entre  calle 18 y 19 barrio san francisco  primera fase, municipio de Chinchiná, caldas.-</t>
  </si>
  <si>
    <t xml:space="preserve"> Reposicion y optimizacion del  alcantarillado en la calle 7 entre carreras 4 y 5 en el municipio de la dorada</t>
  </si>
  <si>
    <r>
      <t>o</t>
    </r>
    <r>
      <rPr>
        <sz val="11"/>
        <color rgb="FF000000"/>
        <rFont val="Arial"/>
        <family val="2"/>
      </rPr>
      <t xml:space="preserve">bras de reposición de redes de alcantarillado en la calle 15 entre entre carreras 3 y 3c en el barrio los fundadores del municipio de riosucio caldas </t>
    </r>
  </si>
  <si>
    <t>Obras civiles cerramiento en malla eslabonada cal. 10 de h= 2.00m y postes curvos de h=23,50 m, cada 2,10 m entre ejes en tubería galv. 2" tipo cerramiento, alfagia, columnas 0,15 x 0,20 m viga de cimentación todo el perimetro, y demás según diseño establecido a mano alzada. Localizacion tanques sector de la melisa, municipio de la dorada, caldas.-</t>
  </si>
  <si>
    <t>Cambio red de conducción San Juan en el municipio de neira Caldas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</si>
</sst>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??_);_(@_)"/>
    <numFmt numFmtId="165" formatCode="_-* #,##0.00_-;\-* #,##0.00_-;_-* &quot;-&quot;_-;_-@_-"/>
    <numFmt numFmtId="166" formatCode="&quot;$&quot;\ #,##0_);[Red]\(&quot;$&quot;\ #,##0\)"/>
    <numFmt numFmtId="167" formatCode="_(&quot;$&quot;\ * #,##0_);_(&quot;$&quot;\ * \(#,##0\);_(&quot;$&quot;\ * &quot;-&quot;??_);_(@_)"/>
    <numFmt numFmtId="168" formatCode="_-&quot;$&quot;* #,##0.00_-;\-&quot;$&quot;* #,##0.00_-;_-&quot;$&quot;* &quot;-&quot;??_-;_-@_-"/>
    <numFmt numFmtId="169" formatCode="_-&quot;$&quot;* #,##0_-;\-&quot;$&quot;* #,##0_-;_-&quot;$&quot;* &quot;-&quot;??_-;_-@_-"/>
    <numFmt numFmtId="170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8">
    <xf numFmtId="0" fontId="0" fillId="0" borderId="0" xfId="0"/>
    <xf numFmtId="0" fontId="0" fillId="0" borderId="1" xfId="0" applyBorder="1"/>
    <xf numFmtId="3" fontId="0" fillId="0" borderId="0" xfId="0" applyNumberFormat="1"/>
    <xf numFmtId="41" fontId="0" fillId="0" borderId="0" xfId="0" applyNumberForma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41" fontId="4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4" fillId="0" borderId="0" xfId="0" applyFont="1" applyFill="1"/>
    <xf numFmtId="0" fontId="4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64" fontId="3" fillId="0" borderId="1" xfId="2" applyNumberFormat="1" applyFont="1" applyBorder="1" applyAlignment="1">
      <alignment horizontal="right"/>
    </xf>
    <xf numFmtId="9" fontId="4" fillId="0" borderId="1" xfId="0" applyNumberFormat="1" applyFont="1" applyBorder="1"/>
    <xf numFmtId="164" fontId="4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3" fillId="0" borderId="1" xfId="2" applyNumberFormat="1" applyFont="1" applyFill="1" applyBorder="1" applyAlignment="1">
      <alignment horizontal="right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2" fontId="4" fillId="0" borderId="1" xfId="0" applyNumberFormat="1" applyFont="1" applyFill="1" applyBorder="1" applyAlignment="1">
      <alignment vertical="center"/>
    </xf>
    <xf numFmtId="164" fontId="0" fillId="0" borderId="0" xfId="0" applyNumberFormat="1"/>
    <xf numFmtId="0" fontId="4" fillId="0" borderId="0" xfId="0" applyFont="1" applyFill="1" applyBorder="1"/>
    <xf numFmtId="9" fontId="4" fillId="0" borderId="1" xfId="0" applyNumberFormat="1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41" fontId="4" fillId="0" borderId="1" xfId="1" applyFont="1" applyFill="1" applyBorder="1" applyAlignment="1">
      <alignment horizontal="center" vertical="center"/>
    </xf>
    <xf numFmtId="164" fontId="3" fillId="0" borderId="0" xfId="0" applyNumberFormat="1" applyFont="1"/>
    <xf numFmtId="49" fontId="1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/>
    <xf numFmtId="49" fontId="8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/>
    </xf>
    <xf numFmtId="41" fontId="10" fillId="0" borderId="1" xfId="1" applyFont="1" applyFill="1" applyBorder="1" applyAlignment="1">
      <alignment wrapText="1"/>
    </xf>
    <xf numFmtId="41" fontId="10" fillId="0" borderId="1" xfId="1" applyFont="1" applyFill="1" applyBorder="1" applyAlignment="1"/>
    <xf numFmtId="41" fontId="8" fillId="0" borderId="1" xfId="1" applyFont="1" applyFill="1" applyBorder="1" applyAlignment="1">
      <alignment horizontal="center" vertical="center" wrapText="1"/>
    </xf>
    <xf numFmtId="41" fontId="0" fillId="0" borderId="0" xfId="1" applyFont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/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/>
    <xf numFmtId="0" fontId="0" fillId="0" borderId="0" xfId="0" applyBorder="1"/>
    <xf numFmtId="3" fontId="4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7" fontId="7" fillId="0" borderId="1" xfId="3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1" fontId="0" fillId="0" borderId="0" xfId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3" fontId="3" fillId="0" borderId="1" xfId="2" applyNumberFormat="1" applyFont="1" applyFill="1" applyBorder="1" applyAlignment="1">
      <alignment horizontal="right"/>
    </xf>
    <xf numFmtId="41" fontId="0" fillId="0" borderId="0" xfId="1" applyFont="1" applyFill="1"/>
    <xf numFmtId="0" fontId="0" fillId="0" borderId="0" xfId="0" applyFill="1"/>
    <xf numFmtId="3" fontId="4" fillId="0" borderId="0" xfId="0" applyNumberFormat="1" applyFont="1" applyFill="1" applyBorder="1" applyAlignment="1">
      <alignment horizontal="center"/>
    </xf>
    <xf numFmtId="41" fontId="0" fillId="0" borderId="0" xfId="0" applyNumberFormat="1" applyFill="1"/>
    <xf numFmtId="1" fontId="0" fillId="0" borderId="0" xfId="0" applyNumberFormat="1"/>
    <xf numFmtId="41" fontId="4" fillId="0" borderId="0" xfId="1" applyFont="1" applyFill="1" applyBorder="1" applyAlignment="1">
      <alignment horizontal="center"/>
    </xf>
    <xf numFmtId="1" fontId="0" fillId="0" borderId="0" xfId="0" applyNumberFormat="1" applyBorder="1"/>
    <xf numFmtId="41" fontId="4" fillId="0" borderId="0" xfId="1" applyFont="1" applyBorder="1" applyAlignment="1">
      <alignment horizontal="center"/>
    </xf>
    <xf numFmtId="41" fontId="4" fillId="2" borderId="0" xfId="1" applyFont="1" applyFill="1" applyBorder="1" applyAlignment="1">
      <alignment horizontal="center"/>
    </xf>
    <xf numFmtId="41" fontId="0" fillId="0" borderId="0" xfId="0" applyNumberFormat="1" applyBorder="1"/>
    <xf numFmtId="3" fontId="8" fillId="0" borderId="1" xfId="0" applyNumberFormat="1" applyFont="1" applyFill="1" applyBorder="1" applyAlignment="1">
      <alignment horizontal="center" vertical="center"/>
    </xf>
    <xf numFmtId="41" fontId="0" fillId="0" borderId="0" xfId="1" applyFont="1" applyFill="1" applyBorder="1"/>
    <xf numFmtId="41" fontId="0" fillId="0" borderId="0" xfId="0" applyNumberFormat="1" applyFill="1" applyBorder="1"/>
    <xf numFmtId="3" fontId="0" fillId="0" borderId="0" xfId="0" applyNumberFormat="1" applyFill="1" applyBorder="1"/>
    <xf numFmtId="3" fontId="3" fillId="0" borderId="1" xfId="2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4" applyFont="1" applyFill="1" applyBorder="1"/>
    <xf numFmtId="2" fontId="3" fillId="0" borderId="1" xfId="4" applyNumberFormat="1" applyFont="1" applyFill="1" applyBorder="1"/>
    <xf numFmtId="169" fontId="3" fillId="0" borderId="1" xfId="5" applyNumberFormat="1" applyFont="1" applyFill="1" applyBorder="1"/>
    <xf numFmtId="2" fontId="3" fillId="0" borderId="1" xfId="4" applyNumberFormat="1" applyFont="1" applyFill="1" applyBorder="1" applyAlignment="1">
      <alignment horizontal="center"/>
    </xf>
    <xf numFmtId="169" fontId="3" fillId="0" borderId="1" xfId="5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horizontal="left" wrapText="1"/>
    </xf>
    <xf numFmtId="0" fontId="4" fillId="0" borderId="1" xfId="4" applyFont="1" applyFill="1" applyBorder="1" applyAlignment="1">
      <alignment horizontal="center"/>
    </xf>
    <xf numFmtId="2" fontId="4" fillId="0" borderId="1" xfId="4" applyNumberFormat="1" applyFont="1" applyFill="1" applyBorder="1"/>
    <xf numFmtId="169" fontId="4" fillId="0" borderId="1" xfId="5" applyNumberFormat="1" applyFont="1" applyFill="1" applyBorder="1" applyAlignment="1"/>
    <xf numFmtId="0" fontId="4" fillId="0" borderId="1" xfId="4" applyFont="1" applyFill="1" applyBorder="1" applyAlignment="1">
      <alignment horizontal="left" vertical="center" wrapText="1"/>
    </xf>
    <xf numFmtId="0" fontId="9" fillId="0" borderId="1" xfId="4" applyNumberFormat="1" applyFont="1" applyFill="1" applyBorder="1" applyAlignment="1">
      <alignment horizontal="center"/>
    </xf>
    <xf numFmtId="2" fontId="9" fillId="0" borderId="1" xfId="4" applyNumberFormat="1" applyFont="1" applyFill="1" applyBorder="1" applyAlignment="1"/>
    <xf numFmtId="0" fontId="3" fillId="0" borderId="1" xfId="4" applyFont="1" applyFill="1" applyBorder="1" applyAlignment="1">
      <alignment horizontal="center"/>
    </xf>
    <xf numFmtId="2" fontId="4" fillId="0" borderId="1" xfId="4" applyNumberFormat="1" applyFont="1" applyFill="1" applyBorder="1" applyAlignment="1">
      <alignment horizontal="center"/>
    </xf>
    <xf numFmtId="169" fontId="4" fillId="0" borderId="1" xfId="5" applyNumberFormat="1" applyFont="1" applyFill="1" applyBorder="1" applyAlignment="1">
      <alignment horizontal="center"/>
    </xf>
    <xf numFmtId="0" fontId="4" fillId="0" borderId="1" xfId="4" applyFont="1" applyFill="1" applyBorder="1" applyAlignment="1"/>
    <xf numFmtId="2" fontId="4" fillId="0" borderId="1" xfId="4" applyNumberFormat="1" applyFont="1" applyFill="1" applyBorder="1" applyAlignment="1">
      <alignment horizontal="right"/>
    </xf>
    <xf numFmtId="0" fontId="3" fillId="0" borderId="1" xfId="4" applyFont="1" applyFill="1" applyBorder="1" applyAlignment="1">
      <alignment horizontal="left"/>
    </xf>
    <xf numFmtId="0" fontId="0" fillId="0" borderId="0" xfId="0" applyFont="1" applyFill="1"/>
    <xf numFmtId="0" fontId="4" fillId="0" borderId="1" xfId="4" applyFont="1" applyFill="1" applyBorder="1" applyAlignment="1">
      <alignment horizontal="justify" vertical="center" wrapText="1"/>
    </xf>
    <xf numFmtId="0" fontId="3" fillId="0" borderId="1" xfId="4" applyFont="1" applyFill="1" applyBorder="1" applyAlignment="1">
      <alignment horizontal="left" wrapText="1"/>
    </xf>
    <xf numFmtId="0" fontId="3" fillId="0" borderId="1" xfId="4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justify" vertical="center"/>
    </xf>
    <xf numFmtId="164" fontId="3" fillId="0" borderId="0" xfId="0" applyNumberFormat="1" applyFont="1" applyFill="1" applyBorder="1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/>
    <xf numFmtId="9" fontId="4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vertical="center"/>
    </xf>
    <xf numFmtId="0" fontId="1" fillId="0" borderId="0" xfId="0" applyFont="1" applyFill="1"/>
    <xf numFmtId="3" fontId="2" fillId="0" borderId="0" xfId="0" applyNumberFormat="1" applyFont="1" applyFill="1"/>
    <xf numFmtId="0" fontId="2" fillId="0" borderId="0" xfId="0" applyFont="1" applyFill="1"/>
    <xf numFmtId="164" fontId="3" fillId="0" borderId="0" xfId="0" applyNumberFormat="1" applyFont="1" applyFill="1"/>
    <xf numFmtId="164" fontId="2" fillId="0" borderId="0" xfId="0" applyNumberFormat="1" applyFont="1"/>
    <xf numFmtId="41" fontId="2" fillId="0" borderId="0" xfId="1" applyFont="1"/>
    <xf numFmtId="0" fontId="2" fillId="0" borderId="0" xfId="0" applyFont="1"/>
    <xf numFmtId="0" fontId="0" fillId="0" borderId="0" xfId="0" applyFill="1" applyBorder="1" applyAlignment="1">
      <alignment vertical="center"/>
    </xf>
    <xf numFmtId="0" fontId="4" fillId="0" borderId="1" xfId="4" applyFont="1" applyFill="1" applyBorder="1" applyAlignment="1">
      <alignment horizontal="left" vertical="top" wrapText="1"/>
    </xf>
    <xf numFmtId="0" fontId="4" fillId="0" borderId="1" xfId="4" applyFont="1" applyFill="1" applyBorder="1" applyAlignment="1">
      <alignment horizontal="justify" wrapText="1"/>
    </xf>
    <xf numFmtId="164" fontId="5" fillId="0" borderId="0" xfId="0" applyNumberFormat="1" applyFont="1" applyFill="1"/>
    <xf numFmtId="3" fontId="4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41" fontId="2" fillId="0" borderId="0" xfId="0" applyNumberFormat="1" applyFont="1"/>
    <xf numFmtId="168" fontId="8" fillId="0" borderId="1" xfId="5" applyNumberFormat="1" applyFont="1" applyFill="1" applyBorder="1" applyAlignment="1"/>
    <xf numFmtId="41" fontId="5" fillId="0" borderId="0" xfId="1" applyFont="1" applyFill="1" applyAlignment="1"/>
    <xf numFmtId="41" fontId="4" fillId="0" borderId="1" xfId="1" applyFont="1" applyFill="1" applyBorder="1" applyAlignment="1">
      <alignment horizontal="center"/>
    </xf>
    <xf numFmtId="1" fontId="4" fillId="0" borderId="1" xfId="0" applyNumberFormat="1" applyFont="1" applyFill="1" applyBorder="1"/>
    <xf numFmtId="0" fontId="16" fillId="0" borderId="21" xfId="4" applyFont="1" applyFill="1" applyBorder="1" applyAlignment="1">
      <alignment vertical="center"/>
    </xf>
    <xf numFmtId="0" fontId="16" fillId="0" borderId="28" xfId="4" applyFont="1" applyFill="1" applyBorder="1" applyAlignment="1">
      <alignment vertical="center"/>
    </xf>
    <xf numFmtId="2" fontId="16" fillId="0" borderId="22" xfId="4" applyNumberFormat="1" applyFont="1" applyFill="1" applyBorder="1" applyAlignment="1">
      <alignment horizontal="center"/>
    </xf>
    <xf numFmtId="169" fontId="16" fillId="0" borderId="22" xfId="5" applyNumberFormat="1" applyFont="1" applyFill="1" applyBorder="1" applyAlignment="1"/>
    <xf numFmtId="3" fontId="16" fillId="0" borderId="29" xfId="5" applyNumberFormat="1" applyFont="1" applyFill="1" applyBorder="1" applyAlignment="1">
      <alignment horizontal="center"/>
    </xf>
    <xf numFmtId="0" fontId="17" fillId="0" borderId="32" xfId="4" applyFont="1" applyFill="1" applyBorder="1" applyAlignment="1">
      <alignment horizontal="center" vertical="center"/>
    </xf>
    <xf numFmtId="0" fontId="17" fillId="0" borderId="1" xfId="4" applyFont="1" applyFill="1" applyBorder="1" applyAlignment="1"/>
    <xf numFmtId="0" fontId="17" fillId="0" borderId="1" xfId="4" applyFont="1" applyFill="1" applyBorder="1" applyAlignment="1">
      <alignment horizontal="center"/>
    </xf>
    <xf numFmtId="2" fontId="17" fillId="0" borderId="1" xfId="4" applyNumberFormat="1" applyFont="1" applyFill="1" applyBorder="1" applyAlignment="1">
      <alignment horizontal="center"/>
    </xf>
    <xf numFmtId="169" fontId="8" fillId="0" borderId="30" xfId="5" applyNumberFormat="1" applyFont="1" applyFill="1" applyBorder="1" applyAlignment="1">
      <alignment horizontal="right"/>
    </xf>
    <xf numFmtId="169" fontId="17" fillId="0" borderId="30" xfId="5" applyNumberFormat="1" applyFont="1" applyFill="1" applyBorder="1" applyAlignment="1">
      <alignment horizontal="right"/>
    </xf>
    <xf numFmtId="168" fontId="17" fillId="0" borderId="1" xfId="5" applyNumberFormat="1" applyFont="1" applyFill="1" applyBorder="1" applyAlignment="1"/>
    <xf numFmtId="0" fontId="17" fillId="0" borderId="3" xfId="4" applyFont="1" applyFill="1" applyBorder="1" applyAlignment="1">
      <alignment wrapText="1"/>
    </xf>
    <xf numFmtId="169" fontId="8" fillId="0" borderId="33" xfId="5" applyNumberFormat="1" applyFont="1" applyFill="1" applyBorder="1" applyAlignment="1">
      <alignment horizontal="right"/>
    </xf>
    <xf numFmtId="0" fontId="16" fillId="0" borderId="32" xfId="4" applyFont="1" applyFill="1" applyBorder="1" applyAlignment="1">
      <alignment horizontal="center" vertical="center"/>
    </xf>
    <xf numFmtId="0" fontId="16" fillId="0" borderId="1" xfId="4" applyFont="1" applyFill="1" applyBorder="1" applyAlignment="1"/>
    <xf numFmtId="0" fontId="16" fillId="0" borderId="1" xfId="4" applyFont="1" applyFill="1" applyBorder="1" applyAlignment="1">
      <alignment horizontal="center"/>
    </xf>
    <xf numFmtId="2" fontId="16" fillId="0" borderId="1" xfId="4" applyNumberFormat="1" applyFont="1" applyFill="1" applyBorder="1" applyAlignment="1">
      <alignment horizontal="center"/>
    </xf>
    <xf numFmtId="169" fontId="16" fillId="0" borderId="1" xfId="5" applyNumberFormat="1" applyFont="1" applyFill="1" applyBorder="1" applyAlignment="1"/>
    <xf numFmtId="169" fontId="16" fillId="0" borderId="30" xfId="5" applyNumberFormat="1" applyFont="1" applyFill="1" applyBorder="1" applyAlignment="1">
      <alignment horizontal="right"/>
    </xf>
    <xf numFmtId="168" fontId="16" fillId="0" borderId="1" xfId="5" applyNumberFormat="1" applyFont="1" applyFill="1" applyBorder="1" applyAlignment="1"/>
    <xf numFmtId="169" fontId="16" fillId="0" borderId="30" xfId="5" applyNumberFormat="1" applyFont="1" applyFill="1" applyBorder="1" applyAlignment="1">
      <alignment horizontal="center"/>
    </xf>
    <xf numFmtId="0" fontId="17" fillId="0" borderId="1" xfId="4" applyFont="1" applyFill="1" applyBorder="1" applyAlignment="1">
      <alignment horizontal="left" wrapText="1"/>
    </xf>
    <xf numFmtId="0" fontId="17" fillId="0" borderId="1" xfId="4" applyFont="1" applyFill="1" applyBorder="1" applyAlignment="1">
      <alignment wrapText="1"/>
    </xf>
    <xf numFmtId="0" fontId="16" fillId="0" borderId="1" xfId="4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wrapText="1"/>
    </xf>
    <xf numFmtId="41" fontId="2" fillId="0" borderId="0" xfId="1" applyFont="1" applyFill="1"/>
    <xf numFmtId="41" fontId="2" fillId="0" borderId="0" xfId="0" applyNumberFormat="1" applyFont="1" applyFill="1"/>
    <xf numFmtId="164" fontId="0" fillId="0" borderId="0" xfId="0" applyNumberFormat="1" applyFill="1"/>
    <xf numFmtId="0" fontId="3" fillId="0" borderId="9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2" fontId="4" fillId="0" borderId="1" xfId="4" applyNumberFormat="1" applyFont="1" applyFill="1" applyBorder="1" applyAlignment="1">
      <alignment vertical="center"/>
    </xf>
    <xf numFmtId="2" fontId="4" fillId="0" borderId="1" xfId="4" applyNumberFormat="1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horizontal="right"/>
    </xf>
    <xf numFmtId="41" fontId="4" fillId="0" borderId="1" xfId="1" applyFont="1" applyFill="1" applyBorder="1" applyAlignment="1"/>
    <xf numFmtId="41" fontId="4" fillId="0" borderId="1" xfId="1" applyFont="1" applyFill="1" applyBorder="1" applyAlignment="1">
      <alignment horizontal="right" vertical="center"/>
    </xf>
    <xf numFmtId="41" fontId="9" fillId="0" borderId="1" xfId="1" applyFont="1" applyFill="1" applyBorder="1" applyAlignment="1"/>
    <xf numFmtId="41" fontId="3" fillId="0" borderId="1" xfId="1" applyFont="1" applyFill="1" applyBorder="1" applyAlignment="1">
      <alignment horizontal="right"/>
    </xf>
    <xf numFmtId="41" fontId="3" fillId="0" borderId="1" xfId="1" applyFont="1" applyFill="1" applyBorder="1" applyAlignment="1">
      <alignment horizontal="center"/>
    </xf>
    <xf numFmtId="2" fontId="3" fillId="0" borderId="1" xfId="4" applyNumberFormat="1" applyFont="1" applyFill="1" applyBorder="1" applyAlignment="1">
      <alignment horizontal="center" vertical="center"/>
    </xf>
    <xf numFmtId="41" fontId="3" fillId="0" borderId="1" xfId="1" applyFont="1" applyFill="1" applyBorder="1" applyAlignment="1">
      <alignment horizontal="right" vertical="center"/>
    </xf>
    <xf numFmtId="41" fontId="4" fillId="0" borderId="1" xfId="1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9" fillId="0" borderId="0" xfId="0" applyFont="1"/>
    <xf numFmtId="6" fontId="19" fillId="0" borderId="0" xfId="0" applyNumberFormat="1" applyFont="1"/>
    <xf numFmtId="169" fontId="19" fillId="0" borderId="0" xfId="0" applyNumberFormat="1" applyFont="1"/>
    <xf numFmtId="3" fontId="19" fillId="0" borderId="0" xfId="0" applyNumberFormat="1" applyFont="1"/>
    <xf numFmtId="3" fontId="6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wrapText="1"/>
    </xf>
    <xf numFmtId="2" fontId="7" fillId="0" borderId="1" xfId="0" applyNumberFormat="1" applyFont="1" applyFill="1" applyBorder="1"/>
    <xf numFmtId="164" fontId="7" fillId="0" borderId="1" xfId="2" applyNumberFormat="1" applyFont="1" applyFill="1" applyBorder="1"/>
    <xf numFmtId="164" fontId="7" fillId="0" borderId="1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/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vertical="top"/>
    </xf>
    <xf numFmtId="164" fontId="7" fillId="0" borderId="1" xfId="2" applyNumberFormat="1" applyFont="1" applyFill="1" applyBorder="1" applyAlignment="1">
      <alignment vertical="top"/>
    </xf>
    <xf numFmtId="164" fontId="7" fillId="0" borderId="1" xfId="2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64" fontId="4" fillId="0" borderId="1" xfId="2" applyNumberFormat="1" applyFont="1" applyFill="1" applyBorder="1"/>
    <xf numFmtId="164" fontId="4" fillId="0" borderId="1" xfId="2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vertical="center"/>
    </xf>
    <xf numFmtId="41" fontId="4" fillId="0" borderId="1" xfId="1" applyFont="1" applyFill="1" applyBorder="1" applyAlignment="1">
      <alignment horizontal="left" wrapText="1"/>
    </xf>
    <xf numFmtId="165" fontId="4" fillId="0" borderId="1" xfId="1" applyNumberFormat="1" applyFont="1" applyFill="1" applyBorder="1" applyAlignment="1"/>
    <xf numFmtId="164" fontId="4" fillId="0" borderId="1" xfId="2" applyNumberFormat="1" applyFont="1" applyFill="1" applyBorder="1" applyAlignment="1"/>
    <xf numFmtId="165" fontId="4" fillId="0" borderId="1" xfId="1" applyNumberFormat="1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0" fontId="0" fillId="0" borderId="1" xfId="0" applyFill="1" applyBorder="1"/>
    <xf numFmtId="2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wrapText="1"/>
    </xf>
    <xf numFmtId="164" fontId="4" fillId="0" borderId="2" xfId="2" applyNumberFormat="1" applyFont="1" applyFill="1" applyBorder="1" applyAlignment="1">
      <alignment horizontal="center" vertical="center"/>
    </xf>
    <xf numFmtId="164" fontId="4" fillId="0" borderId="2" xfId="2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vertical="center"/>
    </xf>
    <xf numFmtId="164" fontId="4" fillId="0" borderId="2" xfId="2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 wrapText="1"/>
    </xf>
    <xf numFmtId="164" fontId="10" fillId="0" borderId="1" xfId="2" applyNumberFormat="1" applyFont="1" applyFill="1" applyBorder="1" applyAlignment="1">
      <alignment horizontal="right"/>
    </xf>
    <xf numFmtId="164" fontId="10" fillId="0" borderId="1" xfId="0" applyNumberFormat="1" applyFont="1" applyFill="1" applyBorder="1"/>
    <xf numFmtId="0" fontId="3" fillId="0" borderId="0" xfId="0" applyFont="1" applyFill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/>
    </xf>
    <xf numFmtId="164" fontId="7" fillId="0" borderId="1" xfId="2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top" wrapText="1"/>
    </xf>
    <xf numFmtId="164" fontId="4" fillId="0" borderId="0" xfId="2" applyNumberFormat="1" applyFont="1" applyFill="1" applyBorder="1" applyAlignment="1">
      <alignment horizontal="right" vertical="center"/>
    </xf>
    <xf numFmtId="0" fontId="10" fillId="0" borderId="0" xfId="0" applyFont="1" applyFill="1"/>
    <xf numFmtId="166" fontId="4" fillId="0" borderId="1" xfId="0" applyNumberFormat="1" applyFont="1" applyFill="1" applyBorder="1" applyAlignment="1">
      <alignment vertical="center"/>
    </xf>
    <xf numFmtId="166" fontId="4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164" fontId="3" fillId="0" borderId="0" xfId="0" applyNumberFormat="1" applyFont="1" applyFill="1" applyAlignment="1">
      <alignment vertical="center"/>
    </xf>
    <xf numFmtId="4" fontId="9" fillId="0" borderId="1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>
      <alignment wrapText="1"/>
    </xf>
    <xf numFmtId="41" fontId="4" fillId="0" borderId="1" xfId="1" applyFont="1" applyFill="1" applyBorder="1" applyAlignment="1" applyProtection="1">
      <alignment horizontal="left" vertical="top"/>
      <protection locked="0"/>
    </xf>
    <xf numFmtId="9" fontId="0" fillId="0" borderId="0" xfId="7" applyFont="1" applyFill="1"/>
    <xf numFmtId="4" fontId="9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justify"/>
    </xf>
    <xf numFmtId="3" fontId="0" fillId="0" borderId="0" xfId="0" applyNumberFormat="1" applyFill="1"/>
    <xf numFmtId="0" fontId="3" fillId="0" borderId="0" xfId="0" applyFont="1" applyFill="1"/>
    <xf numFmtId="0" fontId="5" fillId="0" borderId="0" xfId="0" applyFont="1" applyFill="1" applyAlignment="1">
      <alignment wrapText="1"/>
    </xf>
    <xf numFmtId="0" fontId="14" fillId="0" borderId="0" xfId="0" applyFont="1" applyFill="1"/>
    <xf numFmtId="0" fontId="0" fillId="0" borderId="0" xfId="0" applyFill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167" fontId="17" fillId="0" borderId="1" xfId="3" applyNumberFormat="1" applyFont="1" applyFill="1" applyBorder="1" applyAlignment="1">
      <alignment horizontal="right" vertical="center"/>
    </xf>
    <xf numFmtId="2" fontId="17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167" fontId="8" fillId="0" borderId="1" xfId="3" applyNumberFormat="1" applyFont="1" applyFill="1" applyBorder="1" applyAlignment="1">
      <alignment horizontal="right" vertical="center"/>
    </xf>
    <xf numFmtId="169" fontId="0" fillId="0" borderId="0" xfId="0" applyNumberFormat="1" applyFill="1"/>
    <xf numFmtId="0" fontId="5" fillId="0" borderId="0" xfId="0" applyFont="1" applyFill="1"/>
    <xf numFmtId="0" fontId="18" fillId="0" borderId="0" xfId="0" applyFont="1" applyFill="1"/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/>
    </xf>
    <xf numFmtId="16" fontId="4" fillId="0" borderId="1" xfId="0" quotePrefix="1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/>
    <xf numFmtId="16" fontId="4" fillId="0" borderId="1" xfId="0" quotePrefix="1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left" wrapText="1"/>
    </xf>
    <xf numFmtId="16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vertical="top"/>
    </xf>
    <xf numFmtId="164" fontId="4" fillId="0" borderId="1" xfId="2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164" fontId="4" fillId="0" borderId="1" xfId="2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wrapText="1"/>
    </xf>
    <xf numFmtId="3" fontId="7" fillId="0" borderId="1" xfId="0" applyNumberFormat="1" applyFont="1" applyBorder="1" applyAlignment="1">
      <alignment horizontal="right" vertical="center"/>
    </xf>
    <xf numFmtId="167" fontId="0" fillId="0" borderId="0" xfId="0" applyNumberForma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4" applyFont="1" applyFill="1" applyBorder="1"/>
    <xf numFmtId="2" fontId="3" fillId="0" borderId="0" xfId="4" applyNumberFormat="1" applyFont="1" applyFill="1" applyBorder="1"/>
    <xf numFmtId="169" fontId="3" fillId="0" borderId="0" xfId="5" applyNumberFormat="1" applyFont="1" applyFill="1" applyBorder="1"/>
    <xf numFmtId="3" fontId="3" fillId="0" borderId="0" xfId="5" applyNumberFormat="1" applyFont="1" applyFill="1" applyBorder="1"/>
    <xf numFmtId="0" fontId="3" fillId="0" borderId="21" xfId="4" applyFont="1" applyFill="1" applyBorder="1" applyAlignment="1">
      <alignment vertical="center" wrapText="1"/>
    </xf>
    <xf numFmtId="0" fontId="3" fillId="0" borderId="14" xfId="4" applyFont="1" applyFill="1" applyBorder="1" applyAlignment="1">
      <alignment vertical="center" wrapText="1"/>
    </xf>
    <xf numFmtId="2" fontId="3" fillId="0" borderId="19" xfId="4" applyNumberFormat="1" applyFont="1" applyFill="1" applyBorder="1" applyAlignment="1">
      <alignment horizontal="center"/>
    </xf>
    <xf numFmtId="169" fontId="3" fillId="0" borderId="19" xfId="5" applyNumberFormat="1" applyFont="1" applyFill="1" applyBorder="1" applyAlignment="1">
      <alignment horizontal="center"/>
    </xf>
    <xf numFmtId="3" fontId="3" fillId="0" borderId="35" xfId="5" applyNumberFormat="1" applyFont="1" applyFill="1" applyBorder="1" applyAlignment="1">
      <alignment horizontal="center"/>
    </xf>
    <xf numFmtId="0" fontId="4" fillId="0" borderId="32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wrapText="1"/>
    </xf>
    <xf numFmtId="0" fontId="4" fillId="0" borderId="9" xfId="4" applyFont="1" applyFill="1" applyBorder="1" applyAlignment="1">
      <alignment horizontal="center"/>
    </xf>
    <xf numFmtId="0" fontId="4" fillId="0" borderId="1" xfId="4" applyFont="1" applyFill="1" applyBorder="1" applyAlignment="1">
      <alignment vertical="center" wrapText="1"/>
    </xf>
    <xf numFmtId="0" fontId="4" fillId="0" borderId="3" xfId="4" applyFont="1" applyFill="1" applyBorder="1" applyAlignment="1">
      <alignment wrapText="1"/>
    </xf>
    <xf numFmtId="170" fontId="4" fillId="0" borderId="32" xfId="4" applyNumberFormat="1" applyFont="1" applyFill="1" applyBorder="1" applyAlignment="1">
      <alignment horizontal="center" vertical="center"/>
    </xf>
    <xf numFmtId="0" fontId="4" fillId="0" borderId="10" xfId="4" applyFont="1" applyFill="1" applyBorder="1" applyAlignment="1">
      <alignment horizontal="left" vertical="center" wrapText="1"/>
    </xf>
    <xf numFmtId="0" fontId="4" fillId="0" borderId="38" xfId="4" applyFont="1" applyFill="1" applyBorder="1" applyAlignment="1">
      <alignment horizontal="center"/>
    </xf>
    <xf numFmtId="2" fontId="4" fillId="0" borderId="10" xfId="4" applyNumberFormat="1" applyFont="1" applyFill="1" applyBorder="1" applyAlignment="1">
      <alignment horizontal="center"/>
    </xf>
    <xf numFmtId="2" fontId="4" fillId="0" borderId="32" xfId="4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/>
    </xf>
    <xf numFmtId="0" fontId="4" fillId="0" borderId="3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4" fillId="0" borderId="36" xfId="4" applyFont="1" applyFill="1" applyBorder="1" applyAlignment="1">
      <alignment horizontal="center" vertical="center"/>
    </xf>
    <xf numFmtId="0" fontId="4" fillId="0" borderId="9" xfId="4" applyFont="1" applyFill="1" applyBorder="1" applyAlignment="1">
      <alignment wrapText="1"/>
    </xf>
    <xf numFmtId="2" fontId="4" fillId="0" borderId="9" xfId="4" applyNumberFormat="1" applyFont="1" applyFill="1" applyBorder="1" applyAlignment="1">
      <alignment horizontal="center"/>
    </xf>
    <xf numFmtId="169" fontId="4" fillId="0" borderId="9" xfId="5" applyNumberFormat="1" applyFont="1" applyFill="1" applyBorder="1" applyAlignment="1">
      <alignment horizontal="right"/>
    </xf>
    <xf numFmtId="169" fontId="4" fillId="0" borderId="37" xfId="5" applyNumberFormat="1" applyFont="1" applyFill="1" applyBorder="1" applyAlignment="1">
      <alignment horizontal="right"/>
    </xf>
    <xf numFmtId="0" fontId="9" fillId="0" borderId="32" xfId="4" applyNumberFormat="1" applyFont="1" applyFill="1" applyBorder="1" applyAlignment="1">
      <alignment horizontal="center"/>
    </xf>
    <xf numFmtId="41" fontId="8" fillId="0" borderId="1" xfId="1" applyFont="1" applyFill="1" applyBorder="1" applyAlignment="1"/>
    <xf numFmtId="41" fontId="8" fillId="0" borderId="30" xfId="1" applyFont="1" applyFill="1" applyBorder="1" applyAlignment="1">
      <alignment horizontal="right"/>
    </xf>
    <xf numFmtId="41" fontId="8" fillId="0" borderId="10" xfId="1" applyFont="1" applyFill="1" applyBorder="1" applyAlignment="1"/>
    <xf numFmtId="41" fontId="8" fillId="0" borderId="33" xfId="1" applyFont="1" applyFill="1" applyBorder="1" applyAlignment="1">
      <alignment horizontal="right"/>
    </xf>
    <xf numFmtId="41" fontId="3" fillId="0" borderId="1" xfId="1" applyFont="1" applyFill="1" applyBorder="1"/>
    <xf numFmtId="41" fontId="8" fillId="0" borderId="1" xfId="1" applyFont="1" applyFill="1" applyBorder="1" applyAlignment="1">
      <alignment horizontal="center"/>
    </xf>
    <xf numFmtId="41" fontId="8" fillId="0" borderId="1" xfId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7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1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4" fillId="0" borderId="18" xfId="4" applyFont="1" applyFill="1" applyBorder="1" applyAlignment="1">
      <alignment horizontal="center" vertical="center" wrapText="1"/>
    </xf>
    <xf numFmtId="0" fontId="4" fillId="0" borderId="19" xfId="4" applyFont="1" applyFill="1" applyBorder="1" applyAlignment="1">
      <alignment horizontal="center" vertical="center" wrapText="1"/>
    </xf>
    <xf numFmtId="0" fontId="4" fillId="0" borderId="20" xfId="4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34" xfId="4" applyFont="1" applyFill="1" applyBorder="1" applyAlignment="1">
      <alignment horizontal="center" vertical="center"/>
    </xf>
    <xf numFmtId="0" fontId="3" fillId="0" borderId="19" xfId="4" applyFont="1" applyFill="1" applyBorder="1" applyAlignment="1">
      <alignment horizontal="center" vertical="center"/>
    </xf>
    <xf numFmtId="0" fontId="3" fillId="0" borderId="20" xfId="4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4" applyFont="1" applyFill="1" applyBorder="1" applyAlignment="1">
      <alignment horizontal="center" vertical="center" wrapText="1"/>
    </xf>
    <xf numFmtId="0" fontId="3" fillId="0" borderId="19" xfId="4" applyFont="1" applyFill="1" applyBorder="1" applyAlignment="1">
      <alignment horizontal="center" vertical="center" wrapText="1"/>
    </xf>
    <xf numFmtId="0" fontId="3" fillId="0" borderId="20" xfId="4" applyFont="1" applyFill="1" applyBorder="1" applyAlignment="1">
      <alignment horizontal="center" vertical="center" wrapText="1"/>
    </xf>
    <xf numFmtId="0" fontId="16" fillId="0" borderId="27" xfId="4" applyFont="1" applyFill="1" applyBorder="1" applyAlignment="1">
      <alignment horizontal="center" vertical="center"/>
    </xf>
    <xf numFmtId="0" fontId="16" fillId="0" borderId="31" xfId="4" applyFont="1" applyFill="1" applyBorder="1" applyAlignment="1">
      <alignment horizontal="center" vertical="center"/>
    </xf>
    <xf numFmtId="0" fontId="16" fillId="0" borderId="18" xfId="4" applyFont="1" applyFill="1" applyBorder="1" applyAlignment="1">
      <alignment horizontal="center" vertical="center"/>
    </xf>
    <xf numFmtId="0" fontId="16" fillId="0" borderId="19" xfId="4" applyFont="1" applyFill="1" applyBorder="1" applyAlignment="1">
      <alignment horizontal="center" vertical="center"/>
    </xf>
    <xf numFmtId="0" fontId="16" fillId="0" borderId="20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justify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8">
    <cellStyle name="Millares" xfId="2" builtinId="3"/>
    <cellStyle name="Millares [0]" xfId="1" builtinId="6"/>
    <cellStyle name="Millares 13" xfId="6"/>
    <cellStyle name="Moneda" xfId="3" builtinId="4"/>
    <cellStyle name="Moneda 2" xfId="5"/>
    <cellStyle name="Normal" xfId="0" builtinId="0"/>
    <cellStyle name="Normal 75" xfId="4"/>
    <cellStyle name="Porcentaje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-MAN-OPMA-01/EMPOCALDAS/EMP-MAN-OPMA-01%20-%20Documentos/CARMENZA%20OPERACION%20Y%20MANTENIMIENTO%202019/CREDITO%20DE%20$10.000%20MILLONES%20%202019/Acueducto%20Calle%2037%20entre%20carreras%207%20y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era 8  entre calles28ALCAN "/>
    </sheetNames>
    <sheetDataSet>
      <sheetData sheetId="0">
        <row r="3">
          <cell r="A3" t="str">
            <v>REPOSICIÓN RED DE  ACUEDUCTO EN LA CALLE 37 ENTRE CARRERAS 7 Y 9   EN EL MUNICIPIO DE SUPIA CALDAS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0"/>
  <sheetViews>
    <sheetView tabSelected="1" showWhiteSpace="0" view="pageLayout" topLeftCell="A510" zoomScaleNormal="100" workbookViewId="0">
      <selection activeCell="J510" sqref="J510"/>
    </sheetView>
  </sheetViews>
  <sheetFormatPr baseColWidth="10" defaultRowHeight="15" x14ac:dyDescent="0.25"/>
  <cols>
    <col min="1" max="1" width="11.42578125" style="81"/>
    <col min="2" max="2" width="27.7109375" style="81" customWidth="1"/>
    <col min="3" max="3" width="11.42578125" style="81"/>
    <col min="4" max="4" width="17.5703125" style="81" customWidth="1"/>
    <col min="5" max="5" width="15.5703125" style="81" customWidth="1"/>
    <col min="6" max="6" width="17" style="81" customWidth="1"/>
    <col min="7" max="9" width="11.42578125" style="81"/>
    <col min="10" max="10" width="12.5703125" style="81" bestFit="1" customWidth="1"/>
    <col min="11" max="11" width="14.140625" style="81" bestFit="1" customWidth="1"/>
    <col min="12" max="12" width="11.42578125" style="81"/>
    <col min="13" max="13" width="17.7109375" style="81" customWidth="1"/>
    <col min="14" max="16384" width="11.42578125" style="81"/>
  </cols>
  <sheetData>
    <row r="2" spans="1:11" ht="30" customHeight="1" x14ac:dyDescent="0.25">
      <c r="A2" s="21"/>
      <c r="B2" s="425" t="s">
        <v>59</v>
      </c>
      <c r="C2" s="425"/>
      <c r="D2" s="425"/>
      <c r="E2" s="425"/>
      <c r="F2" s="425"/>
    </row>
    <row r="3" spans="1:11" x14ac:dyDescent="0.25">
      <c r="A3" s="21"/>
      <c r="B3" s="21"/>
      <c r="C3" s="21"/>
      <c r="D3" s="21"/>
      <c r="E3" s="21"/>
      <c r="F3" s="21"/>
    </row>
    <row r="4" spans="1:11" ht="30.75" customHeight="1" x14ac:dyDescent="0.25">
      <c r="A4" s="426" t="s">
        <v>9</v>
      </c>
      <c r="B4" s="426"/>
      <c r="C4" s="426"/>
      <c r="D4" s="426"/>
      <c r="E4" s="426"/>
      <c r="F4" s="426"/>
    </row>
    <row r="5" spans="1:11" ht="15.75" x14ac:dyDescent="0.25">
      <c r="A5" s="424" t="s">
        <v>10</v>
      </c>
      <c r="B5" s="424" t="s">
        <v>0</v>
      </c>
      <c r="C5" s="424" t="s">
        <v>11</v>
      </c>
      <c r="D5" s="424" t="s">
        <v>12</v>
      </c>
      <c r="E5" s="424"/>
      <c r="F5" s="424"/>
    </row>
    <row r="6" spans="1:11" ht="15.75" x14ac:dyDescent="0.25">
      <c r="A6" s="424"/>
      <c r="B6" s="424"/>
      <c r="C6" s="424"/>
      <c r="D6" s="224" t="s">
        <v>13</v>
      </c>
      <c r="E6" s="224" t="s">
        <v>14</v>
      </c>
      <c r="F6" s="224" t="s">
        <v>15</v>
      </c>
    </row>
    <row r="7" spans="1:11" ht="15.75" x14ac:dyDescent="0.25">
      <c r="A7" s="218">
        <v>1</v>
      </c>
      <c r="B7" s="225" t="s">
        <v>16</v>
      </c>
      <c r="C7" s="424"/>
      <c r="D7" s="424"/>
      <c r="E7" s="424"/>
      <c r="F7" s="226"/>
    </row>
    <row r="8" spans="1:11" ht="30.75" x14ac:dyDescent="0.25">
      <c r="A8" s="218">
        <f>A7+1</f>
        <v>2</v>
      </c>
      <c r="B8" s="227" t="s">
        <v>17</v>
      </c>
      <c r="C8" s="209" t="s">
        <v>18</v>
      </c>
      <c r="D8" s="228">
        <v>90</v>
      </c>
      <c r="E8" s="229">
        <v>5214</v>
      </c>
      <c r="F8" s="230">
        <f>D8*E8</f>
        <v>469260</v>
      </c>
    </row>
    <row r="9" spans="1:11" ht="45.75" x14ac:dyDescent="0.25">
      <c r="A9" s="218">
        <f>A8+1</f>
        <v>3</v>
      </c>
      <c r="B9" s="227" t="s">
        <v>21</v>
      </c>
      <c r="C9" s="209" t="s">
        <v>18</v>
      </c>
      <c r="D9" s="228">
        <v>192</v>
      </c>
      <c r="E9" s="229">
        <v>13608</v>
      </c>
      <c r="F9" s="230">
        <f t="shared" ref="F9:F37" si="0">D9*E9</f>
        <v>2612736</v>
      </c>
    </row>
    <row r="10" spans="1:11" ht="30.75" x14ac:dyDescent="0.25">
      <c r="A10" s="218">
        <f t="shared" ref="A10:A37" si="1">A9+1</f>
        <v>4</v>
      </c>
      <c r="B10" s="227" t="s">
        <v>22</v>
      </c>
      <c r="C10" s="209" t="s">
        <v>23</v>
      </c>
      <c r="D10" s="228">
        <v>4</v>
      </c>
      <c r="E10" s="229">
        <v>155349</v>
      </c>
      <c r="F10" s="230">
        <f t="shared" si="0"/>
        <v>621396</v>
      </c>
      <c r="K10" s="80"/>
    </row>
    <row r="11" spans="1:11" ht="15.75" x14ac:dyDescent="0.25">
      <c r="A11" s="218">
        <f t="shared" si="1"/>
        <v>5</v>
      </c>
      <c r="B11" s="231" t="s">
        <v>25</v>
      </c>
      <c r="C11" s="226"/>
      <c r="D11" s="226"/>
      <c r="E11" s="229"/>
      <c r="F11" s="230">
        <f t="shared" si="0"/>
        <v>0</v>
      </c>
    </row>
    <row r="12" spans="1:11" ht="15.75" x14ac:dyDescent="0.25">
      <c r="A12" s="218">
        <f t="shared" si="1"/>
        <v>6</v>
      </c>
      <c r="B12" s="232" t="s">
        <v>26</v>
      </c>
      <c r="C12" s="209" t="s">
        <v>18</v>
      </c>
      <c r="D12" s="228">
        <v>10</v>
      </c>
      <c r="E12" s="229">
        <v>7630</v>
      </c>
      <c r="F12" s="230">
        <f t="shared" si="0"/>
        <v>76300</v>
      </c>
    </row>
    <row r="13" spans="1:11" ht="60.75" x14ac:dyDescent="0.25">
      <c r="A13" s="218">
        <f t="shared" si="1"/>
        <v>7</v>
      </c>
      <c r="B13" s="227" t="s">
        <v>27</v>
      </c>
      <c r="C13" s="209" t="s">
        <v>325</v>
      </c>
      <c r="D13" s="228">
        <v>29</v>
      </c>
      <c r="E13" s="229">
        <v>83312</v>
      </c>
      <c r="F13" s="230">
        <f t="shared" si="0"/>
        <v>2416048</v>
      </c>
    </row>
    <row r="14" spans="1:11" ht="15.75" x14ac:dyDescent="0.25">
      <c r="A14" s="218">
        <f t="shared" si="1"/>
        <v>8</v>
      </c>
      <c r="B14" s="231" t="s">
        <v>28</v>
      </c>
      <c r="C14" s="226"/>
      <c r="D14" s="226"/>
      <c r="E14" s="229"/>
      <c r="F14" s="230">
        <f t="shared" si="0"/>
        <v>0</v>
      </c>
    </row>
    <row r="15" spans="1:11" ht="30.75" x14ac:dyDescent="0.25">
      <c r="A15" s="218">
        <f t="shared" si="1"/>
        <v>9</v>
      </c>
      <c r="B15" s="227" t="s">
        <v>29</v>
      </c>
      <c r="C15" s="209" t="s">
        <v>325</v>
      </c>
      <c r="D15" s="228">
        <v>310</v>
      </c>
      <c r="E15" s="229">
        <v>26317</v>
      </c>
      <c r="F15" s="230">
        <f t="shared" si="0"/>
        <v>8158270</v>
      </c>
    </row>
    <row r="16" spans="1:11" ht="30.75" x14ac:dyDescent="0.25">
      <c r="A16" s="218">
        <f t="shared" si="1"/>
        <v>10</v>
      </c>
      <c r="B16" s="227" t="s">
        <v>30</v>
      </c>
      <c r="C16" s="209" t="s">
        <v>325</v>
      </c>
      <c r="D16" s="228">
        <v>140</v>
      </c>
      <c r="E16" s="229">
        <v>30682</v>
      </c>
      <c r="F16" s="230">
        <f t="shared" si="0"/>
        <v>4295480</v>
      </c>
    </row>
    <row r="17" spans="1:6" ht="15.75" x14ac:dyDescent="0.25">
      <c r="A17" s="218">
        <f t="shared" si="1"/>
        <v>11</v>
      </c>
      <c r="B17" s="227" t="s">
        <v>31</v>
      </c>
      <c r="C17" s="209" t="s">
        <v>18</v>
      </c>
      <c r="D17" s="228">
        <v>20</v>
      </c>
      <c r="E17" s="229">
        <v>31128</v>
      </c>
      <c r="F17" s="230">
        <f t="shared" si="0"/>
        <v>622560</v>
      </c>
    </row>
    <row r="18" spans="1:6" ht="45.75" x14ac:dyDescent="0.25">
      <c r="A18" s="218">
        <f t="shared" si="1"/>
        <v>12</v>
      </c>
      <c r="B18" s="227" t="s">
        <v>32</v>
      </c>
      <c r="C18" s="209" t="s">
        <v>325</v>
      </c>
      <c r="D18" s="228">
        <v>77</v>
      </c>
      <c r="E18" s="229">
        <v>32749</v>
      </c>
      <c r="F18" s="230">
        <f t="shared" si="0"/>
        <v>2521673</v>
      </c>
    </row>
    <row r="19" spans="1:6" ht="31.5" x14ac:dyDescent="0.25">
      <c r="A19" s="218">
        <f t="shared" si="1"/>
        <v>13</v>
      </c>
      <c r="B19" s="231" t="s">
        <v>33</v>
      </c>
      <c r="C19" s="226"/>
      <c r="D19" s="226"/>
      <c r="E19" s="229"/>
      <c r="F19" s="230">
        <f t="shared" si="0"/>
        <v>0</v>
      </c>
    </row>
    <row r="20" spans="1:6" ht="30.75" x14ac:dyDescent="0.25">
      <c r="A20" s="218">
        <f t="shared" si="1"/>
        <v>14</v>
      </c>
      <c r="B20" s="227" t="s">
        <v>34</v>
      </c>
      <c r="C20" s="209" t="s">
        <v>18</v>
      </c>
      <c r="D20" s="233">
        <v>91</v>
      </c>
      <c r="E20" s="229">
        <f>1981*20</f>
        <v>39620</v>
      </c>
      <c r="F20" s="230">
        <f t="shared" si="0"/>
        <v>3605420</v>
      </c>
    </row>
    <row r="21" spans="1:6" ht="75" x14ac:dyDescent="0.25">
      <c r="A21" s="218">
        <f t="shared" si="1"/>
        <v>15</v>
      </c>
      <c r="B21" s="234" t="s">
        <v>35</v>
      </c>
      <c r="C21" s="209" t="s">
        <v>18</v>
      </c>
      <c r="D21" s="228">
        <v>1</v>
      </c>
      <c r="E21" s="229">
        <v>637411</v>
      </c>
      <c r="F21" s="230">
        <f t="shared" si="0"/>
        <v>637411</v>
      </c>
    </row>
    <row r="22" spans="1:6" ht="75.75" x14ac:dyDescent="0.25">
      <c r="A22" s="218">
        <f t="shared" si="1"/>
        <v>16</v>
      </c>
      <c r="B22" s="227" t="s">
        <v>36</v>
      </c>
      <c r="C22" s="209" t="s">
        <v>37</v>
      </c>
      <c r="D22" s="228">
        <v>1</v>
      </c>
      <c r="E22" s="229">
        <v>777600</v>
      </c>
      <c r="F22" s="230">
        <f t="shared" si="0"/>
        <v>777600</v>
      </c>
    </row>
    <row r="23" spans="1:6" ht="15.75" x14ac:dyDescent="0.25">
      <c r="A23" s="218">
        <f t="shared" si="1"/>
        <v>17</v>
      </c>
      <c r="B23" s="227" t="s">
        <v>38</v>
      </c>
      <c r="C23" s="209" t="s">
        <v>37</v>
      </c>
      <c r="D23" s="228">
        <v>2</v>
      </c>
      <c r="E23" s="229">
        <v>540447</v>
      </c>
      <c r="F23" s="230">
        <f t="shared" si="0"/>
        <v>1080894</v>
      </c>
    </row>
    <row r="24" spans="1:6" ht="45" x14ac:dyDescent="0.25">
      <c r="A24" s="218">
        <f t="shared" si="1"/>
        <v>18</v>
      </c>
      <c r="B24" s="235" t="s">
        <v>39</v>
      </c>
      <c r="C24" s="236" t="s">
        <v>18</v>
      </c>
      <c r="D24" s="237">
        <v>36</v>
      </c>
      <c r="E24" s="238">
        <v>13802</v>
      </c>
      <c r="F24" s="239">
        <f t="shared" si="0"/>
        <v>496872</v>
      </c>
    </row>
    <row r="25" spans="1:6" ht="60.75" x14ac:dyDescent="0.25">
      <c r="A25" s="218">
        <f t="shared" si="1"/>
        <v>19</v>
      </c>
      <c r="B25" s="227" t="s">
        <v>40</v>
      </c>
      <c r="C25" s="209" t="s">
        <v>23</v>
      </c>
      <c r="D25" s="228">
        <v>11</v>
      </c>
      <c r="E25" s="229">
        <v>399818</v>
      </c>
      <c r="F25" s="230">
        <f t="shared" si="0"/>
        <v>4397998</v>
      </c>
    </row>
    <row r="26" spans="1:6" ht="30.75" x14ac:dyDescent="0.25">
      <c r="A26" s="218">
        <f t="shared" si="1"/>
        <v>20</v>
      </c>
      <c r="B26" s="227" t="s">
        <v>41</v>
      </c>
      <c r="C26" s="209" t="s">
        <v>23</v>
      </c>
      <c r="D26" s="228">
        <v>11</v>
      </c>
      <c r="E26" s="229">
        <v>49187</v>
      </c>
      <c r="F26" s="230">
        <f t="shared" si="0"/>
        <v>541057</v>
      </c>
    </row>
    <row r="27" spans="1:6" ht="15.75" x14ac:dyDescent="0.25">
      <c r="A27" s="218">
        <f t="shared" si="1"/>
        <v>21</v>
      </c>
      <c r="B27" s="227" t="s">
        <v>42</v>
      </c>
      <c r="C27" s="209" t="s">
        <v>23</v>
      </c>
      <c r="D27" s="228">
        <v>6</v>
      </c>
      <c r="E27" s="229">
        <v>90312</v>
      </c>
      <c r="F27" s="230">
        <f t="shared" si="0"/>
        <v>541872</v>
      </c>
    </row>
    <row r="28" spans="1:6" ht="15.75" x14ac:dyDescent="0.25">
      <c r="A28" s="218">
        <f t="shared" si="1"/>
        <v>22</v>
      </c>
      <c r="B28" s="231" t="s">
        <v>43</v>
      </c>
      <c r="C28" s="226"/>
      <c r="D28" s="226"/>
      <c r="E28" s="229"/>
      <c r="F28" s="230">
        <f t="shared" si="0"/>
        <v>0</v>
      </c>
    </row>
    <row r="29" spans="1:6" ht="30" x14ac:dyDescent="0.25">
      <c r="A29" s="218">
        <f t="shared" si="1"/>
        <v>23</v>
      </c>
      <c r="B29" s="240" t="s">
        <v>44</v>
      </c>
      <c r="C29" s="209" t="s">
        <v>325</v>
      </c>
      <c r="D29" s="228">
        <v>24</v>
      </c>
      <c r="E29" s="229">
        <v>120657</v>
      </c>
      <c r="F29" s="230">
        <f t="shared" si="0"/>
        <v>2895768</v>
      </c>
    </row>
    <row r="30" spans="1:6" ht="30.75" x14ac:dyDescent="0.25">
      <c r="A30" s="218">
        <f t="shared" si="1"/>
        <v>24</v>
      </c>
      <c r="B30" s="227" t="s">
        <v>45</v>
      </c>
      <c r="C30" s="209" t="s">
        <v>325</v>
      </c>
      <c r="D30" s="228">
        <v>300</v>
      </c>
      <c r="E30" s="229">
        <v>22131</v>
      </c>
      <c r="F30" s="230">
        <f t="shared" si="0"/>
        <v>6639300</v>
      </c>
    </row>
    <row r="31" spans="1:6" ht="15.75" x14ac:dyDescent="0.25">
      <c r="A31" s="218">
        <f t="shared" si="1"/>
        <v>25</v>
      </c>
      <c r="B31" s="227" t="s">
        <v>46</v>
      </c>
      <c r="C31" s="209" t="s">
        <v>325</v>
      </c>
      <c r="D31" s="228">
        <v>2</v>
      </c>
      <c r="E31" s="229">
        <v>144847</v>
      </c>
      <c r="F31" s="230">
        <f t="shared" si="0"/>
        <v>289694</v>
      </c>
    </row>
    <row r="32" spans="1:6" ht="15.75" x14ac:dyDescent="0.25">
      <c r="A32" s="218">
        <f t="shared" si="1"/>
        <v>26</v>
      </c>
      <c r="B32" s="227" t="s">
        <v>47</v>
      </c>
      <c r="C32" s="209" t="s">
        <v>325</v>
      </c>
      <c r="D32" s="228">
        <v>74</v>
      </c>
      <c r="E32" s="229">
        <v>85700</v>
      </c>
      <c r="F32" s="230">
        <f t="shared" si="0"/>
        <v>6341800</v>
      </c>
    </row>
    <row r="33" spans="1:11" ht="15.75" x14ac:dyDescent="0.25">
      <c r="A33" s="218">
        <f t="shared" si="1"/>
        <v>27</v>
      </c>
      <c r="B33" s="231" t="s">
        <v>48</v>
      </c>
      <c r="C33" s="226"/>
      <c r="D33" s="226"/>
      <c r="E33" s="229"/>
      <c r="F33" s="230">
        <f t="shared" si="0"/>
        <v>0</v>
      </c>
    </row>
    <row r="34" spans="1:11" ht="30.75" x14ac:dyDescent="0.25">
      <c r="A34" s="218">
        <f t="shared" si="1"/>
        <v>28</v>
      </c>
      <c r="B34" s="227" t="s">
        <v>49</v>
      </c>
      <c r="C34" s="209" t="s">
        <v>325</v>
      </c>
      <c r="D34" s="228">
        <v>1</v>
      </c>
      <c r="E34" s="229">
        <v>605480</v>
      </c>
      <c r="F34" s="230">
        <f t="shared" si="0"/>
        <v>605480</v>
      </c>
    </row>
    <row r="35" spans="1:11" ht="30.75" x14ac:dyDescent="0.25">
      <c r="A35" s="218">
        <f t="shared" si="1"/>
        <v>29</v>
      </c>
      <c r="B35" s="227" t="s">
        <v>50</v>
      </c>
      <c r="C35" s="209" t="s">
        <v>325</v>
      </c>
      <c r="D35" s="228">
        <v>1</v>
      </c>
      <c r="E35" s="229">
        <v>822268</v>
      </c>
      <c r="F35" s="230">
        <f t="shared" si="0"/>
        <v>822268</v>
      </c>
    </row>
    <row r="36" spans="1:11" ht="15.75" x14ac:dyDescent="0.25">
      <c r="A36" s="218">
        <f t="shared" si="1"/>
        <v>30</v>
      </c>
      <c r="B36" s="231" t="s">
        <v>51</v>
      </c>
      <c r="C36" s="226"/>
      <c r="D36" s="226"/>
      <c r="E36" s="229"/>
      <c r="F36" s="230">
        <f t="shared" si="0"/>
        <v>0</v>
      </c>
      <c r="K36" s="80"/>
    </row>
    <row r="37" spans="1:11" ht="30.75" x14ac:dyDescent="0.25">
      <c r="A37" s="218">
        <f t="shared" si="1"/>
        <v>31</v>
      </c>
      <c r="B37" s="227" t="s">
        <v>52</v>
      </c>
      <c r="C37" s="209" t="s">
        <v>53</v>
      </c>
      <c r="D37" s="228">
        <v>18</v>
      </c>
      <c r="E37" s="229">
        <v>5922</v>
      </c>
      <c r="F37" s="230">
        <f t="shared" si="0"/>
        <v>106596</v>
      </c>
    </row>
    <row r="38" spans="1:11" ht="15.75" x14ac:dyDescent="0.25">
      <c r="A38" s="208"/>
      <c r="B38" s="227"/>
      <c r="C38" s="209"/>
      <c r="D38" s="228"/>
      <c r="E38" s="229"/>
      <c r="F38" s="230"/>
    </row>
    <row r="39" spans="1:11" ht="15.75" x14ac:dyDescent="0.25">
      <c r="A39" s="241"/>
      <c r="B39" s="18" t="s">
        <v>56</v>
      </c>
      <c r="C39" s="54"/>
      <c r="D39" s="130"/>
      <c r="E39" s="28"/>
      <c r="F39" s="28">
        <f>ROUND((F38+F37+F36+F35+F34+F33+F32+F31+F30+F29+F28+F27+F26+F25+F24+F23+F22+F21+F20+F19+F18+F17+F16+F15+F14+F13+F12+F11+F10+F9+F8),0)</f>
        <v>51573753</v>
      </c>
    </row>
    <row r="40" spans="1:11" ht="15.75" x14ac:dyDescent="0.25">
      <c r="A40" s="241"/>
      <c r="B40" s="19" t="s">
        <v>60</v>
      </c>
      <c r="C40" s="19"/>
      <c r="D40" s="19"/>
      <c r="E40" s="19"/>
      <c r="F40" s="29">
        <f>ROUND(F39/1.3495,0)</f>
        <v>38216934</v>
      </c>
    </row>
    <row r="41" spans="1:11" ht="15.75" x14ac:dyDescent="0.25">
      <c r="A41" s="241"/>
      <c r="B41" s="19" t="s">
        <v>61</v>
      </c>
      <c r="C41" s="131">
        <v>0.24</v>
      </c>
      <c r="D41" s="19"/>
      <c r="E41" s="19"/>
      <c r="F41" s="29">
        <f>ROUND(F40*C41,0)</f>
        <v>9172064</v>
      </c>
    </row>
    <row r="42" spans="1:11" ht="15.75" x14ac:dyDescent="0.25">
      <c r="A42" s="241"/>
      <c r="B42" s="19" t="s">
        <v>57</v>
      </c>
      <c r="C42" s="131">
        <v>0.05</v>
      </c>
      <c r="D42" s="19"/>
      <c r="E42" s="19"/>
      <c r="F42" s="29">
        <f>ROUND(F40*C42,0)</f>
        <v>1910847</v>
      </c>
    </row>
    <row r="43" spans="1:11" ht="15.75" x14ac:dyDescent="0.25">
      <c r="A43" s="241"/>
      <c r="B43" s="19" t="s">
        <v>62</v>
      </c>
      <c r="C43" s="131">
        <v>0.05</v>
      </c>
      <c r="D43" s="19"/>
      <c r="E43" s="19"/>
      <c r="F43" s="29">
        <f>ROUND(F40*C43,0)</f>
        <v>1910847</v>
      </c>
    </row>
    <row r="44" spans="1:11" x14ac:dyDescent="0.25">
      <c r="A44" s="19"/>
      <c r="B44" s="19" t="s">
        <v>63</v>
      </c>
      <c r="C44" s="131">
        <v>0.19</v>
      </c>
      <c r="D44" s="19"/>
      <c r="E44" s="19"/>
      <c r="F44" s="29">
        <f>ROUND(F43*19%,0)</f>
        <v>363061</v>
      </c>
    </row>
    <row r="45" spans="1:11" x14ac:dyDescent="0.25">
      <c r="A45" s="19"/>
      <c r="B45" s="18" t="s">
        <v>56</v>
      </c>
      <c r="C45" s="19"/>
      <c r="D45" s="19"/>
      <c r="E45" s="19"/>
      <c r="F45" s="30">
        <f>SUM(F40:F44)</f>
        <v>51573753</v>
      </c>
    </row>
    <row r="46" spans="1:11" x14ac:dyDescent="0.25">
      <c r="A46" s="19"/>
      <c r="B46" s="18"/>
      <c r="C46" s="19"/>
      <c r="D46" s="19"/>
      <c r="E46" s="19"/>
      <c r="F46" s="30"/>
    </row>
    <row r="47" spans="1:11" x14ac:dyDescent="0.25">
      <c r="A47" s="19"/>
      <c r="B47" s="18"/>
      <c r="C47" s="19"/>
      <c r="D47" s="19"/>
      <c r="E47" s="19"/>
      <c r="F47" s="30"/>
    </row>
    <row r="49" spans="1:6" x14ac:dyDescent="0.25">
      <c r="A49" s="422" t="s">
        <v>65</v>
      </c>
      <c r="B49" s="422"/>
      <c r="C49" s="422"/>
      <c r="D49" s="422"/>
      <c r="E49" s="422"/>
      <c r="F49" s="422"/>
    </row>
    <row r="50" spans="1:6" x14ac:dyDescent="0.25">
      <c r="A50" s="420" t="s">
        <v>10</v>
      </c>
      <c r="B50" s="420" t="s">
        <v>0</v>
      </c>
      <c r="C50" s="420" t="s">
        <v>11</v>
      </c>
      <c r="D50" s="420" t="s">
        <v>12</v>
      </c>
      <c r="E50" s="420"/>
      <c r="F50" s="420"/>
    </row>
    <row r="51" spans="1:6" x14ac:dyDescent="0.25">
      <c r="A51" s="420"/>
      <c r="B51" s="420"/>
      <c r="C51" s="420"/>
      <c r="D51" s="54" t="s">
        <v>13</v>
      </c>
      <c r="E51" s="54" t="s">
        <v>14</v>
      </c>
      <c r="F51" s="54" t="s">
        <v>15</v>
      </c>
    </row>
    <row r="52" spans="1:6" x14ac:dyDescent="0.25">
      <c r="A52" s="218">
        <v>1</v>
      </c>
      <c r="B52" s="18" t="s">
        <v>16</v>
      </c>
      <c r="C52" s="420"/>
      <c r="D52" s="420"/>
      <c r="E52" s="420"/>
      <c r="F52" s="20"/>
    </row>
    <row r="53" spans="1:6" ht="29.25" x14ac:dyDescent="0.25">
      <c r="A53" s="218">
        <f>A52+1</f>
        <v>2</v>
      </c>
      <c r="B53" s="17" t="s">
        <v>17</v>
      </c>
      <c r="C53" s="218" t="s">
        <v>18</v>
      </c>
      <c r="D53" s="31">
        <v>162</v>
      </c>
      <c r="E53" s="59">
        <v>5214</v>
      </c>
      <c r="F53" s="58">
        <f>ROUND(D53*E53,0)</f>
        <v>844668</v>
      </c>
    </row>
    <row r="54" spans="1:6" ht="43.5" x14ac:dyDescent="0.25">
      <c r="A54" s="218">
        <f>A53+1</f>
        <v>3</v>
      </c>
      <c r="B54" s="17" t="s">
        <v>21</v>
      </c>
      <c r="C54" s="218" t="s">
        <v>18</v>
      </c>
      <c r="D54" s="31">
        <v>336</v>
      </c>
      <c r="E54" s="59">
        <v>13608</v>
      </c>
      <c r="F54" s="58">
        <f t="shared" ref="F54:F81" si="2">ROUND(D54*E54,0)</f>
        <v>4572288</v>
      </c>
    </row>
    <row r="55" spans="1:6" ht="29.25" x14ac:dyDescent="0.25">
      <c r="A55" s="218">
        <f t="shared" ref="A55:A81" si="3">A54+1</f>
        <v>4</v>
      </c>
      <c r="B55" s="17" t="s">
        <v>22</v>
      </c>
      <c r="C55" s="218" t="s">
        <v>23</v>
      </c>
      <c r="D55" s="31">
        <v>3</v>
      </c>
      <c r="E55" s="59">
        <v>155349</v>
      </c>
      <c r="F55" s="58">
        <f t="shared" si="2"/>
        <v>466047</v>
      </c>
    </row>
    <row r="56" spans="1:6" x14ac:dyDescent="0.25">
      <c r="A56" s="218">
        <f t="shared" si="3"/>
        <v>5</v>
      </c>
      <c r="B56" s="18" t="s">
        <v>25</v>
      </c>
      <c r="C56" s="20"/>
      <c r="D56" s="20"/>
      <c r="E56" s="59"/>
      <c r="F56" s="58">
        <v>0</v>
      </c>
    </row>
    <row r="57" spans="1:6" x14ac:dyDescent="0.25">
      <c r="A57" s="218">
        <f t="shared" si="3"/>
        <v>6</v>
      </c>
      <c r="B57" s="57" t="s">
        <v>26</v>
      </c>
      <c r="C57" s="218" t="s">
        <v>18</v>
      </c>
      <c r="D57" s="31">
        <v>10</v>
      </c>
      <c r="E57" s="59">
        <v>7630</v>
      </c>
      <c r="F57" s="58">
        <f t="shared" si="2"/>
        <v>76300</v>
      </c>
    </row>
    <row r="58" spans="1:6" ht="57.75" x14ac:dyDescent="0.25">
      <c r="A58" s="218">
        <f t="shared" si="3"/>
        <v>7</v>
      </c>
      <c r="B58" s="17" t="s">
        <v>27</v>
      </c>
      <c r="C58" s="218" t="s">
        <v>64</v>
      </c>
      <c r="D58" s="31">
        <v>52</v>
      </c>
      <c r="E58" s="59">
        <v>83312</v>
      </c>
      <c r="F58" s="58">
        <f t="shared" si="2"/>
        <v>4332224</v>
      </c>
    </row>
    <row r="59" spans="1:6" x14ac:dyDescent="0.25">
      <c r="A59" s="218">
        <f t="shared" si="3"/>
        <v>8</v>
      </c>
      <c r="B59" s="18" t="s">
        <v>28</v>
      </c>
      <c r="C59" s="20"/>
      <c r="D59" s="20"/>
      <c r="E59" s="59"/>
      <c r="F59" s="58">
        <v>0</v>
      </c>
    </row>
    <row r="60" spans="1:6" ht="29.25" x14ac:dyDescent="0.25">
      <c r="A60" s="218">
        <f t="shared" si="3"/>
        <v>9</v>
      </c>
      <c r="B60" s="17" t="s">
        <v>29</v>
      </c>
      <c r="C60" s="218" t="s">
        <v>64</v>
      </c>
      <c r="D60" s="31">
        <v>470</v>
      </c>
      <c r="E60" s="59">
        <v>26317</v>
      </c>
      <c r="F60" s="58">
        <f>ROUND(D60*E60,0)</f>
        <v>12368990</v>
      </c>
    </row>
    <row r="61" spans="1:6" x14ac:dyDescent="0.25">
      <c r="A61" s="218">
        <f t="shared" si="3"/>
        <v>10</v>
      </c>
      <c r="B61" s="55" t="s">
        <v>31</v>
      </c>
      <c r="C61" s="218" t="s">
        <v>18</v>
      </c>
      <c r="D61" s="31">
        <v>20</v>
      </c>
      <c r="E61" s="59">
        <v>31128</v>
      </c>
      <c r="F61" s="58">
        <f t="shared" si="2"/>
        <v>622560</v>
      </c>
    </row>
    <row r="62" spans="1:6" ht="28.5" x14ac:dyDescent="0.25">
      <c r="A62" s="218">
        <f t="shared" si="3"/>
        <v>11</v>
      </c>
      <c r="B62" s="9" t="s">
        <v>32</v>
      </c>
      <c r="C62" s="218" t="s">
        <v>64</v>
      </c>
      <c r="D62" s="31">
        <v>128</v>
      </c>
      <c r="E62" s="59">
        <v>32749</v>
      </c>
      <c r="F62" s="58">
        <f t="shared" si="2"/>
        <v>4191872</v>
      </c>
    </row>
    <row r="63" spans="1:6" ht="30" x14ac:dyDescent="0.25">
      <c r="A63" s="218">
        <f t="shared" si="3"/>
        <v>12</v>
      </c>
      <c r="B63" s="188" t="s">
        <v>33</v>
      </c>
      <c r="C63" s="20"/>
      <c r="D63" s="20"/>
      <c r="E63" s="59"/>
      <c r="F63" s="58">
        <v>0</v>
      </c>
    </row>
    <row r="64" spans="1:6" ht="29.25" x14ac:dyDescent="0.25">
      <c r="A64" s="218">
        <f t="shared" si="3"/>
        <v>13</v>
      </c>
      <c r="B64" s="17" t="s">
        <v>66</v>
      </c>
      <c r="C64" s="218" t="s">
        <v>18</v>
      </c>
      <c r="D64" s="31">
        <v>162</v>
      </c>
      <c r="E64" s="59">
        <f>1981*12</f>
        <v>23772</v>
      </c>
      <c r="F64" s="58">
        <f t="shared" si="2"/>
        <v>3851064</v>
      </c>
    </row>
    <row r="65" spans="1:6" ht="71.25" x14ac:dyDescent="0.25">
      <c r="A65" s="218">
        <f t="shared" si="3"/>
        <v>14</v>
      </c>
      <c r="B65" s="121" t="s">
        <v>35</v>
      </c>
      <c r="C65" s="218" t="s">
        <v>18</v>
      </c>
      <c r="D65" s="31">
        <v>1</v>
      </c>
      <c r="E65" s="59">
        <v>637411</v>
      </c>
      <c r="F65" s="58">
        <f t="shared" si="2"/>
        <v>637411</v>
      </c>
    </row>
    <row r="66" spans="1:6" ht="71.25" x14ac:dyDescent="0.25">
      <c r="A66" s="218">
        <f t="shared" si="3"/>
        <v>15</v>
      </c>
      <c r="B66" s="9" t="s">
        <v>36</v>
      </c>
      <c r="C66" s="218" t="s">
        <v>37</v>
      </c>
      <c r="D66" s="31">
        <v>1</v>
      </c>
      <c r="E66" s="59">
        <v>777600</v>
      </c>
      <c r="F66" s="58">
        <f t="shared" si="2"/>
        <v>777600</v>
      </c>
    </row>
    <row r="67" spans="1:6" x14ac:dyDescent="0.25">
      <c r="A67" s="218">
        <f t="shared" si="3"/>
        <v>16</v>
      </c>
      <c r="B67" s="55" t="s">
        <v>38</v>
      </c>
      <c r="C67" s="119" t="s">
        <v>37</v>
      </c>
      <c r="D67" s="61">
        <v>4</v>
      </c>
      <c r="E67" s="242">
        <v>540447</v>
      </c>
      <c r="F67" s="243">
        <f t="shared" si="2"/>
        <v>2161788</v>
      </c>
    </row>
    <row r="68" spans="1:6" ht="42.75" x14ac:dyDescent="0.25">
      <c r="A68" s="218">
        <f t="shared" si="3"/>
        <v>17</v>
      </c>
      <c r="B68" s="9" t="s">
        <v>39</v>
      </c>
      <c r="C68" s="218" t="s">
        <v>18</v>
      </c>
      <c r="D68" s="31">
        <v>210</v>
      </c>
      <c r="E68" s="59">
        <v>13802</v>
      </c>
      <c r="F68" s="58">
        <f t="shared" si="2"/>
        <v>2898420</v>
      </c>
    </row>
    <row r="69" spans="1:6" ht="57" x14ac:dyDescent="0.25">
      <c r="A69" s="218">
        <f t="shared" si="3"/>
        <v>18</v>
      </c>
      <c r="B69" s="9" t="s">
        <v>40</v>
      </c>
      <c r="C69" s="218" t="s">
        <v>23</v>
      </c>
      <c r="D69" s="31">
        <v>35</v>
      </c>
      <c r="E69" s="59">
        <v>399818</v>
      </c>
      <c r="F69" s="58">
        <f t="shared" si="2"/>
        <v>13993630</v>
      </c>
    </row>
    <row r="70" spans="1:6" ht="28.5" x14ac:dyDescent="0.25">
      <c r="A70" s="218">
        <f t="shared" si="3"/>
        <v>19</v>
      </c>
      <c r="B70" s="9" t="s">
        <v>67</v>
      </c>
      <c r="C70" s="218" t="s">
        <v>23</v>
      </c>
      <c r="D70" s="31">
        <v>35</v>
      </c>
      <c r="E70" s="59">
        <v>49187</v>
      </c>
      <c r="F70" s="58">
        <f t="shared" si="2"/>
        <v>1721545</v>
      </c>
    </row>
    <row r="71" spans="1:6" x14ac:dyDescent="0.25">
      <c r="A71" s="218">
        <f t="shared" si="3"/>
        <v>20</v>
      </c>
      <c r="B71" s="55" t="s">
        <v>42</v>
      </c>
      <c r="C71" s="218" t="s">
        <v>23</v>
      </c>
      <c r="D71" s="31">
        <v>6</v>
      </c>
      <c r="E71" s="59">
        <v>90312</v>
      </c>
      <c r="F71" s="58">
        <f t="shared" si="2"/>
        <v>541872</v>
      </c>
    </row>
    <row r="72" spans="1:6" x14ac:dyDescent="0.25">
      <c r="A72" s="218">
        <f t="shared" si="3"/>
        <v>21</v>
      </c>
      <c r="B72" s="18" t="s">
        <v>43</v>
      </c>
      <c r="C72" s="20"/>
      <c r="D72" s="20"/>
      <c r="E72" s="59"/>
      <c r="F72" s="58">
        <v>0</v>
      </c>
    </row>
    <row r="73" spans="1:6" x14ac:dyDescent="0.25">
      <c r="A73" s="218">
        <f t="shared" si="3"/>
        <v>22</v>
      </c>
      <c r="B73" s="55" t="s">
        <v>44</v>
      </c>
      <c r="C73" s="218" t="s">
        <v>64</v>
      </c>
      <c r="D73" s="31">
        <v>35</v>
      </c>
      <c r="E73" s="59">
        <v>120657</v>
      </c>
      <c r="F73" s="58">
        <f t="shared" si="2"/>
        <v>4222995</v>
      </c>
    </row>
    <row r="74" spans="1:6" ht="29.25" x14ac:dyDescent="0.25">
      <c r="A74" s="218">
        <f t="shared" si="3"/>
        <v>23</v>
      </c>
      <c r="B74" s="17" t="s">
        <v>45</v>
      </c>
      <c r="C74" s="218" t="s">
        <v>64</v>
      </c>
      <c r="D74" s="31">
        <v>300</v>
      </c>
      <c r="E74" s="59">
        <v>22131</v>
      </c>
      <c r="F74" s="58">
        <f t="shared" si="2"/>
        <v>6639300</v>
      </c>
    </row>
    <row r="75" spans="1:6" x14ac:dyDescent="0.25">
      <c r="A75" s="218">
        <f t="shared" si="3"/>
        <v>24</v>
      </c>
      <c r="B75" s="55" t="s">
        <v>46</v>
      </c>
      <c r="C75" s="218" t="s">
        <v>64</v>
      </c>
      <c r="D75" s="31">
        <v>2</v>
      </c>
      <c r="E75" s="59">
        <v>144847</v>
      </c>
      <c r="F75" s="58">
        <f t="shared" si="2"/>
        <v>289694</v>
      </c>
    </row>
    <row r="76" spans="1:6" x14ac:dyDescent="0.25">
      <c r="A76" s="218">
        <f t="shared" si="3"/>
        <v>25</v>
      </c>
      <c r="B76" s="55" t="s">
        <v>68</v>
      </c>
      <c r="C76" s="218" t="s">
        <v>64</v>
      </c>
      <c r="D76" s="31">
        <v>40</v>
      </c>
      <c r="E76" s="59">
        <v>85700</v>
      </c>
      <c r="F76" s="58">
        <f t="shared" si="2"/>
        <v>3428000</v>
      </c>
    </row>
    <row r="77" spans="1:6" x14ac:dyDescent="0.25">
      <c r="A77" s="218">
        <f t="shared" si="3"/>
        <v>26</v>
      </c>
      <c r="B77" s="18" t="s">
        <v>48</v>
      </c>
      <c r="C77" s="20"/>
      <c r="D77" s="20"/>
      <c r="E77" s="59"/>
      <c r="F77" s="58">
        <v>0</v>
      </c>
    </row>
    <row r="78" spans="1:6" ht="29.25" x14ac:dyDescent="0.25">
      <c r="A78" s="218">
        <f t="shared" si="3"/>
        <v>27</v>
      </c>
      <c r="B78" s="17" t="s">
        <v>49</v>
      </c>
      <c r="C78" s="218" t="s">
        <v>64</v>
      </c>
      <c r="D78" s="31">
        <v>2</v>
      </c>
      <c r="E78" s="59">
        <v>605480</v>
      </c>
      <c r="F78" s="58">
        <f t="shared" si="2"/>
        <v>1210960</v>
      </c>
    </row>
    <row r="79" spans="1:6" ht="29.25" x14ac:dyDescent="0.25">
      <c r="A79" s="218">
        <f t="shared" si="3"/>
        <v>28</v>
      </c>
      <c r="B79" s="17" t="s">
        <v>50</v>
      </c>
      <c r="C79" s="218" t="s">
        <v>64</v>
      </c>
      <c r="D79" s="31">
        <v>2</v>
      </c>
      <c r="E79" s="59">
        <v>822268</v>
      </c>
      <c r="F79" s="58">
        <f t="shared" si="2"/>
        <v>1644536</v>
      </c>
    </row>
    <row r="80" spans="1:6" x14ac:dyDescent="0.25">
      <c r="A80" s="218">
        <f t="shared" si="3"/>
        <v>29</v>
      </c>
      <c r="B80" s="18" t="s">
        <v>51</v>
      </c>
      <c r="C80" s="20"/>
      <c r="D80" s="20"/>
      <c r="E80" s="59"/>
      <c r="F80" s="58">
        <v>0</v>
      </c>
    </row>
    <row r="81" spans="1:11" ht="29.25" x14ac:dyDescent="0.25">
      <c r="A81" s="218">
        <f t="shared" si="3"/>
        <v>30</v>
      </c>
      <c r="B81" s="17" t="s">
        <v>52</v>
      </c>
      <c r="C81" s="218" t="s">
        <v>53</v>
      </c>
      <c r="D81" s="31">
        <v>36</v>
      </c>
      <c r="E81" s="59">
        <v>5922</v>
      </c>
      <c r="F81" s="58">
        <f t="shared" si="2"/>
        <v>213192</v>
      </c>
      <c r="K81" s="80"/>
    </row>
    <row r="82" spans="1:11" x14ac:dyDescent="0.25">
      <c r="A82" s="216"/>
      <c r="B82" s="18" t="s">
        <v>56</v>
      </c>
      <c r="C82" s="54"/>
      <c r="D82" s="130"/>
      <c r="E82" s="28"/>
      <c r="F82" s="28">
        <f>ROUND((F81+F80+F79+F78+F77+F76+F75+F74+F73+F72+F71+F70+F69+F68+F67+F66+F65+F64+F63+F62+F61+F60+F59+F58+F57+F56+F55+F54+F53),0)</f>
        <v>71706956</v>
      </c>
    </row>
    <row r="83" spans="1:11" x14ac:dyDescent="0.25">
      <c r="A83" s="19"/>
      <c r="B83" s="19" t="s">
        <v>60</v>
      </c>
      <c r="C83" s="19"/>
      <c r="D83" s="19"/>
      <c r="E83" s="19"/>
      <c r="F83" s="29">
        <f>ROUND(F82/1.3495,0)</f>
        <v>53135944</v>
      </c>
    </row>
    <row r="84" spans="1:11" x14ac:dyDescent="0.25">
      <c r="A84" s="19"/>
      <c r="B84" s="19" t="s">
        <v>61</v>
      </c>
      <c r="C84" s="131">
        <v>0.24</v>
      </c>
      <c r="D84" s="19"/>
      <c r="E84" s="19"/>
      <c r="F84" s="29">
        <f>ROUND(F83*C84,0)</f>
        <v>12752627</v>
      </c>
    </row>
    <row r="85" spans="1:11" x14ac:dyDescent="0.25">
      <c r="A85" s="19"/>
      <c r="B85" s="19" t="s">
        <v>57</v>
      </c>
      <c r="C85" s="131">
        <v>0.05</v>
      </c>
      <c r="D85" s="19"/>
      <c r="E85" s="19"/>
      <c r="F85" s="29">
        <f>ROUND(F83*C85,0)</f>
        <v>2656797</v>
      </c>
    </row>
    <row r="86" spans="1:11" x14ac:dyDescent="0.25">
      <c r="A86" s="19"/>
      <c r="B86" s="19" t="s">
        <v>62</v>
      </c>
      <c r="C86" s="131">
        <v>0.05</v>
      </c>
      <c r="D86" s="19"/>
      <c r="E86" s="19"/>
      <c r="F86" s="29">
        <f>ROUND(F83*C86,0)</f>
        <v>2656797</v>
      </c>
    </row>
    <row r="87" spans="1:11" x14ac:dyDescent="0.25">
      <c r="A87" s="19"/>
      <c r="B87" s="19" t="s">
        <v>63</v>
      </c>
      <c r="C87" s="131">
        <v>0.19</v>
      </c>
      <c r="D87" s="19"/>
      <c r="E87" s="19"/>
      <c r="F87" s="29">
        <f>ROUND(F86*19%,0)</f>
        <v>504791</v>
      </c>
    </row>
    <row r="88" spans="1:11" x14ac:dyDescent="0.25">
      <c r="A88" s="19"/>
      <c r="B88" s="18" t="s">
        <v>56</v>
      </c>
      <c r="C88" s="19"/>
      <c r="D88" s="19"/>
      <c r="E88" s="19"/>
      <c r="F88" s="30">
        <f>SUM(F83:F87)</f>
        <v>71706956</v>
      </c>
    </row>
    <row r="90" spans="1:11" ht="39.75" customHeight="1" x14ac:dyDescent="0.25">
      <c r="A90" s="423" t="s">
        <v>69</v>
      </c>
      <c r="B90" s="423"/>
      <c r="C90" s="423"/>
      <c r="D90" s="423"/>
      <c r="E90" s="423"/>
      <c r="F90" s="423"/>
    </row>
    <row r="91" spans="1:11" x14ac:dyDescent="0.25">
      <c r="A91" s="204" t="s">
        <v>10</v>
      </c>
      <c r="B91" s="204" t="s">
        <v>0</v>
      </c>
      <c r="C91" s="204" t="s">
        <v>11</v>
      </c>
      <c r="D91" s="204" t="s">
        <v>12</v>
      </c>
      <c r="E91" s="204"/>
      <c r="F91" s="204"/>
    </row>
    <row r="92" spans="1:11" x14ac:dyDescent="0.25">
      <c r="A92" s="204"/>
      <c r="B92" s="204"/>
      <c r="C92" s="204"/>
      <c r="D92" s="204" t="s">
        <v>13</v>
      </c>
      <c r="E92" s="204" t="s">
        <v>14</v>
      </c>
      <c r="F92" s="204" t="s">
        <v>15</v>
      </c>
    </row>
    <row r="93" spans="1:11" x14ac:dyDescent="0.25">
      <c r="A93" s="218">
        <v>1</v>
      </c>
      <c r="B93" s="207" t="s">
        <v>16</v>
      </c>
      <c r="C93" s="207"/>
      <c r="D93" s="207"/>
      <c r="E93" s="207"/>
      <c r="F93" s="207"/>
    </row>
    <row r="94" spans="1:11" x14ac:dyDescent="0.25">
      <c r="A94" s="218">
        <f>A93+1</f>
        <v>2</v>
      </c>
      <c r="B94" s="207" t="s">
        <v>70</v>
      </c>
      <c r="C94" s="38" t="s">
        <v>18</v>
      </c>
      <c r="D94" s="244">
        <v>72</v>
      </c>
      <c r="E94" s="14">
        <v>5214</v>
      </c>
      <c r="F94" s="59">
        <f t="shared" ref="F94:F121" si="4">ROUND(D94*E94,0)</f>
        <v>375408</v>
      </c>
    </row>
    <row r="95" spans="1:11" ht="43.5" x14ac:dyDescent="0.25">
      <c r="A95" s="218">
        <f>A94+1</f>
        <v>3</v>
      </c>
      <c r="B95" s="245" t="s">
        <v>21</v>
      </c>
      <c r="C95" s="38" t="s">
        <v>18</v>
      </c>
      <c r="D95" s="244">
        <v>156</v>
      </c>
      <c r="E95" s="14">
        <v>13608</v>
      </c>
      <c r="F95" s="59">
        <f t="shared" si="4"/>
        <v>2122848</v>
      </c>
    </row>
    <row r="96" spans="1:11" ht="29.25" x14ac:dyDescent="0.25">
      <c r="A96" s="218">
        <f t="shared" ref="A96:A121" si="5">A95+1</f>
        <v>4</v>
      </c>
      <c r="B96" s="245" t="s">
        <v>22</v>
      </c>
      <c r="C96" s="38" t="s">
        <v>23</v>
      </c>
      <c r="D96" s="244">
        <v>2</v>
      </c>
      <c r="E96" s="14">
        <v>155349</v>
      </c>
      <c r="F96" s="59">
        <f t="shared" si="4"/>
        <v>310698</v>
      </c>
      <c r="K96" s="80"/>
    </row>
    <row r="97" spans="1:6" x14ac:dyDescent="0.25">
      <c r="A97" s="218">
        <f t="shared" si="5"/>
        <v>5</v>
      </c>
      <c r="B97" s="207" t="s">
        <v>25</v>
      </c>
      <c r="C97" s="38"/>
      <c r="D97" s="244"/>
      <c r="E97" s="14"/>
      <c r="F97" s="59">
        <f t="shared" si="4"/>
        <v>0</v>
      </c>
    </row>
    <row r="98" spans="1:6" x14ac:dyDescent="0.25">
      <c r="A98" s="218">
        <f t="shared" si="5"/>
        <v>6</v>
      </c>
      <c r="B98" s="245" t="s">
        <v>26</v>
      </c>
      <c r="C98" s="38" t="s">
        <v>18</v>
      </c>
      <c r="D98" s="244">
        <v>14</v>
      </c>
      <c r="E98" s="14">
        <v>7630</v>
      </c>
      <c r="F98" s="59">
        <f t="shared" si="4"/>
        <v>106820</v>
      </c>
    </row>
    <row r="99" spans="1:6" ht="57.75" x14ac:dyDescent="0.25">
      <c r="A99" s="218">
        <f t="shared" si="5"/>
        <v>7</v>
      </c>
      <c r="B99" s="245" t="s">
        <v>27</v>
      </c>
      <c r="C99" s="38" t="s">
        <v>71</v>
      </c>
      <c r="D99" s="244">
        <v>2</v>
      </c>
      <c r="E99" s="14">
        <v>83312</v>
      </c>
      <c r="F99" s="59">
        <f t="shared" si="4"/>
        <v>166624</v>
      </c>
    </row>
    <row r="100" spans="1:6" x14ac:dyDescent="0.25">
      <c r="A100" s="218">
        <f t="shared" si="5"/>
        <v>8</v>
      </c>
      <c r="B100" s="207" t="s">
        <v>28</v>
      </c>
      <c r="C100" s="150"/>
      <c r="D100" s="246"/>
      <c r="E100" s="200"/>
      <c r="F100" s="247">
        <f t="shared" si="4"/>
        <v>0</v>
      </c>
    </row>
    <row r="101" spans="1:6" ht="29.25" x14ac:dyDescent="0.25">
      <c r="A101" s="218">
        <f t="shared" si="5"/>
        <v>9</v>
      </c>
      <c r="B101" s="245" t="s">
        <v>29</v>
      </c>
      <c r="C101" s="38" t="s">
        <v>71</v>
      </c>
      <c r="D101" s="244">
        <v>144</v>
      </c>
      <c r="E101" s="14">
        <v>26317</v>
      </c>
      <c r="F101" s="59">
        <f t="shared" si="4"/>
        <v>3789648</v>
      </c>
    </row>
    <row r="102" spans="1:6" x14ac:dyDescent="0.25">
      <c r="A102" s="218">
        <f t="shared" si="5"/>
        <v>10</v>
      </c>
      <c r="B102" s="245" t="s">
        <v>31</v>
      </c>
      <c r="C102" s="38" t="s">
        <v>18</v>
      </c>
      <c r="D102" s="244">
        <v>10</v>
      </c>
      <c r="E102" s="14">
        <v>31128</v>
      </c>
      <c r="F102" s="59">
        <f t="shared" si="4"/>
        <v>311280</v>
      </c>
    </row>
    <row r="103" spans="1:6" ht="29.25" x14ac:dyDescent="0.25">
      <c r="A103" s="218">
        <f t="shared" si="5"/>
        <v>11</v>
      </c>
      <c r="B103" s="245" t="s">
        <v>32</v>
      </c>
      <c r="C103" s="38" t="s">
        <v>71</v>
      </c>
      <c r="D103" s="244">
        <v>40</v>
      </c>
      <c r="E103" s="14">
        <v>32749</v>
      </c>
      <c r="F103" s="59">
        <f t="shared" si="4"/>
        <v>1309960</v>
      </c>
    </row>
    <row r="104" spans="1:6" ht="29.25" x14ac:dyDescent="0.25">
      <c r="A104" s="218">
        <f t="shared" si="5"/>
        <v>12</v>
      </c>
      <c r="B104" s="245" t="s">
        <v>33</v>
      </c>
      <c r="C104" s="38"/>
      <c r="D104" s="244"/>
      <c r="E104" s="14"/>
      <c r="F104" s="59">
        <f t="shared" si="4"/>
        <v>0</v>
      </c>
    </row>
    <row r="105" spans="1:6" ht="29.25" x14ac:dyDescent="0.25">
      <c r="A105" s="218">
        <f t="shared" si="5"/>
        <v>13</v>
      </c>
      <c r="B105" s="245" t="s">
        <v>66</v>
      </c>
      <c r="C105" s="38" t="s">
        <v>18</v>
      </c>
      <c r="D105" s="244">
        <v>72</v>
      </c>
      <c r="E105" s="14">
        <v>23772</v>
      </c>
      <c r="F105" s="59">
        <f t="shared" si="4"/>
        <v>1711584</v>
      </c>
    </row>
    <row r="106" spans="1:6" ht="72" x14ac:dyDescent="0.25">
      <c r="A106" s="218">
        <f t="shared" si="5"/>
        <v>14</v>
      </c>
      <c r="B106" s="245" t="s">
        <v>35</v>
      </c>
      <c r="C106" s="38" t="s">
        <v>18</v>
      </c>
      <c r="D106" s="244">
        <v>3.6</v>
      </c>
      <c r="E106" s="14">
        <v>637411</v>
      </c>
      <c r="F106" s="58">
        <f t="shared" si="4"/>
        <v>2294680</v>
      </c>
    </row>
    <row r="107" spans="1:6" ht="57.75" x14ac:dyDescent="0.25">
      <c r="A107" s="218">
        <f t="shared" si="5"/>
        <v>15</v>
      </c>
      <c r="B107" s="245" t="s">
        <v>72</v>
      </c>
      <c r="C107" s="38" t="s">
        <v>37</v>
      </c>
      <c r="D107" s="244">
        <v>2</v>
      </c>
      <c r="E107" s="14">
        <v>777600</v>
      </c>
      <c r="F107" s="58">
        <f t="shared" si="4"/>
        <v>1555200</v>
      </c>
    </row>
    <row r="108" spans="1:6" x14ac:dyDescent="0.25">
      <c r="A108" s="218">
        <f t="shared" si="5"/>
        <v>16</v>
      </c>
      <c r="B108" s="245" t="s">
        <v>38</v>
      </c>
      <c r="C108" s="38" t="s">
        <v>37</v>
      </c>
      <c r="D108" s="244">
        <v>3</v>
      </c>
      <c r="E108" s="14">
        <v>540447</v>
      </c>
      <c r="F108" s="58">
        <f t="shared" si="4"/>
        <v>1621341</v>
      </c>
    </row>
    <row r="109" spans="1:6" ht="43.5" x14ac:dyDescent="0.25">
      <c r="A109" s="218">
        <f t="shared" si="5"/>
        <v>17</v>
      </c>
      <c r="B109" s="245" t="s">
        <v>39</v>
      </c>
      <c r="C109" s="38" t="s">
        <v>18</v>
      </c>
      <c r="D109" s="244">
        <v>30</v>
      </c>
      <c r="E109" s="14">
        <v>13802</v>
      </c>
      <c r="F109" s="58">
        <f t="shared" si="4"/>
        <v>414060</v>
      </c>
    </row>
    <row r="110" spans="1:6" ht="57.75" x14ac:dyDescent="0.25">
      <c r="A110" s="218">
        <f t="shared" si="5"/>
        <v>18</v>
      </c>
      <c r="B110" s="245" t="s">
        <v>40</v>
      </c>
      <c r="C110" s="38" t="s">
        <v>23</v>
      </c>
      <c r="D110" s="248">
        <v>7</v>
      </c>
      <c r="E110" s="38">
        <v>399818</v>
      </c>
      <c r="F110" s="249">
        <f t="shared" si="4"/>
        <v>2798726</v>
      </c>
    </row>
    <row r="111" spans="1:6" ht="29.25" x14ac:dyDescent="0.25">
      <c r="A111" s="218">
        <f t="shared" si="5"/>
        <v>19</v>
      </c>
      <c r="B111" s="245" t="s">
        <v>67</v>
      </c>
      <c r="C111" s="38" t="s">
        <v>23</v>
      </c>
      <c r="D111" s="248">
        <v>7</v>
      </c>
      <c r="E111" s="38">
        <v>43482</v>
      </c>
      <c r="F111" s="249">
        <f t="shared" si="4"/>
        <v>304374</v>
      </c>
    </row>
    <row r="112" spans="1:6" x14ac:dyDescent="0.25">
      <c r="A112" s="218">
        <f t="shared" si="5"/>
        <v>20</v>
      </c>
      <c r="B112" s="245" t="s">
        <v>42</v>
      </c>
      <c r="C112" s="38" t="s">
        <v>23</v>
      </c>
      <c r="D112" s="248">
        <v>4</v>
      </c>
      <c r="E112" s="38">
        <v>90312</v>
      </c>
      <c r="F112" s="249">
        <f t="shared" si="4"/>
        <v>361248</v>
      </c>
    </row>
    <row r="113" spans="1:11" x14ac:dyDescent="0.25">
      <c r="A113" s="218">
        <f t="shared" si="5"/>
        <v>21</v>
      </c>
      <c r="B113" s="245" t="s">
        <v>43</v>
      </c>
      <c r="C113" s="38"/>
      <c r="D113" s="248"/>
      <c r="E113" s="38"/>
      <c r="F113" s="249">
        <f t="shared" si="4"/>
        <v>0</v>
      </c>
    </row>
    <row r="114" spans="1:11" x14ac:dyDescent="0.25">
      <c r="A114" s="218">
        <f t="shared" si="5"/>
        <v>22</v>
      </c>
      <c r="B114" s="245" t="s">
        <v>44</v>
      </c>
      <c r="C114" s="38" t="s">
        <v>71</v>
      </c>
      <c r="D114" s="248">
        <v>10</v>
      </c>
      <c r="E114" s="38">
        <v>120657</v>
      </c>
      <c r="F114" s="249">
        <f t="shared" si="4"/>
        <v>1206570</v>
      </c>
    </row>
    <row r="115" spans="1:11" ht="29.25" x14ac:dyDescent="0.25">
      <c r="A115" s="218">
        <f t="shared" si="5"/>
        <v>23</v>
      </c>
      <c r="B115" s="245" t="s">
        <v>45</v>
      </c>
      <c r="C115" s="38" t="s">
        <v>71</v>
      </c>
      <c r="D115" s="248">
        <v>107</v>
      </c>
      <c r="E115" s="38">
        <v>22131</v>
      </c>
      <c r="F115" s="249">
        <f t="shared" si="4"/>
        <v>2368017</v>
      </c>
    </row>
    <row r="116" spans="1:11" x14ac:dyDescent="0.25">
      <c r="A116" s="218">
        <f t="shared" si="5"/>
        <v>24</v>
      </c>
      <c r="B116" s="245" t="s">
        <v>47</v>
      </c>
      <c r="C116" s="38" t="s">
        <v>71</v>
      </c>
      <c r="D116" s="248">
        <v>12</v>
      </c>
      <c r="E116" s="38">
        <v>85000</v>
      </c>
      <c r="F116" s="249">
        <f t="shared" si="4"/>
        <v>1020000</v>
      </c>
    </row>
    <row r="117" spans="1:11" x14ac:dyDescent="0.25">
      <c r="A117" s="218">
        <f t="shared" si="5"/>
        <v>25</v>
      </c>
      <c r="B117" s="207" t="s">
        <v>48</v>
      </c>
      <c r="C117" s="38"/>
      <c r="D117" s="248"/>
      <c r="E117" s="38"/>
      <c r="F117" s="249">
        <f t="shared" si="4"/>
        <v>0</v>
      </c>
    </row>
    <row r="118" spans="1:11" ht="29.25" x14ac:dyDescent="0.25">
      <c r="A118" s="218">
        <f t="shared" si="5"/>
        <v>26</v>
      </c>
      <c r="B118" s="245" t="s">
        <v>49</v>
      </c>
      <c r="C118" s="38" t="s">
        <v>71</v>
      </c>
      <c r="D118" s="248">
        <v>0.5</v>
      </c>
      <c r="E118" s="38">
        <v>605480</v>
      </c>
      <c r="F118" s="249">
        <f t="shared" si="4"/>
        <v>302740</v>
      </c>
    </row>
    <row r="119" spans="1:11" ht="29.25" x14ac:dyDescent="0.25">
      <c r="A119" s="218">
        <f t="shared" si="5"/>
        <v>27</v>
      </c>
      <c r="B119" s="245" t="s">
        <v>50</v>
      </c>
      <c r="C119" s="38" t="s">
        <v>71</v>
      </c>
      <c r="D119" s="248">
        <v>5</v>
      </c>
      <c r="E119" s="38">
        <v>822268</v>
      </c>
      <c r="F119" s="249">
        <f t="shared" si="4"/>
        <v>4111340</v>
      </c>
    </row>
    <row r="120" spans="1:11" x14ac:dyDescent="0.25">
      <c r="A120" s="218">
        <f t="shared" si="5"/>
        <v>28</v>
      </c>
      <c r="B120" s="245" t="s">
        <v>51</v>
      </c>
      <c r="C120" s="38"/>
      <c r="D120" s="248"/>
      <c r="E120" s="38"/>
      <c r="F120" s="249">
        <f t="shared" si="4"/>
        <v>0</v>
      </c>
    </row>
    <row r="121" spans="1:11" ht="29.25" x14ac:dyDescent="0.25">
      <c r="A121" s="218">
        <f t="shared" si="5"/>
        <v>29</v>
      </c>
      <c r="B121" s="245" t="s">
        <v>52</v>
      </c>
      <c r="C121" s="38" t="s">
        <v>53</v>
      </c>
      <c r="D121" s="248">
        <v>36</v>
      </c>
      <c r="E121" s="38">
        <v>5922</v>
      </c>
      <c r="F121" s="249">
        <f t="shared" si="4"/>
        <v>213192</v>
      </c>
      <c r="K121" s="80"/>
    </row>
    <row r="122" spans="1:11" x14ac:dyDescent="0.25">
      <c r="A122" s="216"/>
      <c r="B122" s="18" t="s">
        <v>56</v>
      </c>
      <c r="C122" s="54"/>
      <c r="D122" s="130"/>
      <c r="E122" s="28"/>
      <c r="F122" s="28">
        <f>ROUND(F121+F120+F119+F118+F117+F116+F115+F114+F113+F112+F111+F110+F109+F108+F107+F106+F105+F104+F103+F102+F101+F100+F99+F98+F97+F96+F95+F94,0)</f>
        <v>28776358</v>
      </c>
    </row>
    <row r="123" spans="1:11" x14ac:dyDescent="0.25">
      <c r="A123" s="19"/>
      <c r="B123" s="19" t="s">
        <v>60</v>
      </c>
      <c r="C123" s="19"/>
      <c r="D123" s="19"/>
      <c r="E123" s="19"/>
      <c r="F123" s="29">
        <f>ROUND(F122/1.3495,0)</f>
        <v>21323718</v>
      </c>
    </row>
    <row r="124" spans="1:11" x14ac:dyDescent="0.25">
      <c r="A124" s="19"/>
      <c r="B124" s="19" t="s">
        <v>61</v>
      </c>
      <c r="C124" s="131">
        <v>0.24</v>
      </c>
      <c r="D124" s="19"/>
      <c r="E124" s="19"/>
      <c r="F124" s="29">
        <f>ROUND(F123*C124,0)</f>
        <v>5117692</v>
      </c>
    </row>
    <row r="125" spans="1:11" x14ac:dyDescent="0.25">
      <c r="A125" s="19"/>
      <c r="B125" s="19" t="s">
        <v>57</v>
      </c>
      <c r="C125" s="131">
        <v>0.05</v>
      </c>
      <c r="D125" s="19"/>
      <c r="E125" s="19"/>
      <c r="F125" s="29">
        <f>ROUND(F123*C125,0)</f>
        <v>1066186</v>
      </c>
    </row>
    <row r="126" spans="1:11" x14ac:dyDescent="0.25">
      <c r="A126" s="19"/>
      <c r="B126" s="19" t="s">
        <v>62</v>
      </c>
      <c r="C126" s="131">
        <v>0.05</v>
      </c>
      <c r="D126" s="19"/>
      <c r="E126" s="19"/>
      <c r="F126" s="29">
        <f>ROUND(F123*C126,0)</f>
        <v>1066186</v>
      </c>
    </row>
    <row r="127" spans="1:11" x14ac:dyDescent="0.25">
      <c r="A127" s="19"/>
      <c r="B127" s="19" t="s">
        <v>63</v>
      </c>
      <c r="C127" s="131">
        <v>0.19</v>
      </c>
      <c r="D127" s="19"/>
      <c r="E127" s="19"/>
      <c r="F127" s="29">
        <f>ROUND(F126*19%,0)</f>
        <v>202575</v>
      </c>
    </row>
    <row r="128" spans="1:11" x14ac:dyDescent="0.25">
      <c r="A128" s="19"/>
      <c r="B128" s="18" t="s">
        <v>56</v>
      </c>
      <c r="C128" s="19"/>
      <c r="D128" s="19"/>
      <c r="E128" s="19"/>
      <c r="F128" s="30">
        <f>SUM(F123:F127)</f>
        <v>28776357</v>
      </c>
    </row>
    <row r="130" spans="1:6" x14ac:dyDescent="0.25">
      <c r="A130" s="422" t="s">
        <v>834</v>
      </c>
      <c r="B130" s="422"/>
      <c r="C130" s="422"/>
      <c r="D130" s="422"/>
      <c r="E130" s="422"/>
      <c r="F130" s="422"/>
    </row>
    <row r="131" spans="1:6" x14ac:dyDescent="0.25">
      <c r="A131" s="420" t="s">
        <v>10</v>
      </c>
      <c r="B131" s="420" t="s">
        <v>0</v>
      </c>
      <c r="C131" s="420" t="s">
        <v>11</v>
      </c>
      <c r="D131" s="420" t="s">
        <v>12</v>
      </c>
      <c r="E131" s="420"/>
      <c r="F131" s="420"/>
    </row>
    <row r="132" spans="1:6" x14ac:dyDescent="0.25">
      <c r="A132" s="420"/>
      <c r="B132" s="420"/>
      <c r="C132" s="420"/>
      <c r="D132" s="54" t="s">
        <v>13</v>
      </c>
      <c r="E132" s="54" t="s">
        <v>14</v>
      </c>
      <c r="F132" s="54" t="s">
        <v>15</v>
      </c>
    </row>
    <row r="133" spans="1:6" x14ac:dyDescent="0.25">
      <c r="A133" s="218">
        <f t="shared" ref="A133:A161" si="6">A132+1</f>
        <v>1</v>
      </c>
      <c r="B133" s="18" t="s">
        <v>16</v>
      </c>
      <c r="C133" s="420"/>
      <c r="D133" s="420"/>
      <c r="E133" s="420"/>
      <c r="F133" s="20"/>
    </row>
    <row r="134" spans="1:6" x14ac:dyDescent="0.25">
      <c r="A134" s="218">
        <f t="shared" si="6"/>
        <v>2</v>
      </c>
      <c r="B134" s="17" t="s">
        <v>73</v>
      </c>
      <c r="C134" s="119" t="s">
        <v>18</v>
      </c>
      <c r="D134" s="61">
        <v>84</v>
      </c>
      <c r="E134" s="242">
        <v>5214</v>
      </c>
      <c r="F134" s="249">
        <f t="shared" ref="F134:F161" si="7">ROUND(D134*E134,0)</f>
        <v>437976</v>
      </c>
    </row>
    <row r="135" spans="1:6" ht="43.5" x14ac:dyDescent="0.25">
      <c r="A135" s="218">
        <f>A134+1</f>
        <v>3</v>
      </c>
      <c r="B135" s="17" t="s">
        <v>21</v>
      </c>
      <c r="C135" s="119" t="s">
        <v>18</v>
      </c>
      <c r="D135" s="61">
        <v>180</v>
      </c>
      <c r="E135" s="242">
        <v>13608</v>
      </c>
      <c r="F135" s="249">
        <f t="shared" si="7"/>
        <v>2449440</v>
      </c>
    </row>
    <row r="136" spans="1:6" ht="29.25" x14ac:dyDescent="0.25">
      <c r="A136" s="218">
        <f t="shared" si="6"/>
        <v>4</v>
      </c>
      <c r="B136" s="17" t="s">
        <v>22</v>
      </c>
      <c r="C136" s="119" t="s">
        <v>23</v>
      </c>
      <c r="D136" s="61">
        <v>2</v>
      </c>
      <c r="E136" s="242">
        <v>155349</v>
      </c>
      <c r="F136" s="249">
        <f t="shared" si="7"/>
        <v>310698</v>
      </c>
    </row>
    <row r="137" spans="1:6" x14ac:dyDescent="0.25">
      <c r="A137" s="218">
        <f t="shared" si="6"/>
        <v>5</v>
      </c>
      <c r="B137" s="188" t="s">
        <v>25</v>
      </c>
      <c r="C137" s="20"/>
      <c r="D137" s="20"/>
      <c r="E137" s="242"/>
      <c r="F137" s="249">
        <f t="shared" si="7"/>
        <v>0</v>
      </c>
    </row>
    <row r="138" spans="1:6" x14ac:dyDescent="0.25">
      <c r="A138" s="218">
        <f t="shared" si="6"/>
        <v>6</v>
      </c>
      <c r="B138" s="56" t="s">
        <v>26</v>
      </c>
      <c r="C138" s="119" t="s">
        <v>18</v>
      </c>
      <c r="D138" s="61">
        <v>304</v>
      </c>
      <c r="E138" s="242">
        <v>7630</v>
      </c>
      <c r="F138" s="249">
        <f t="shared" si="7"/>
        <v>2319520</v>
      </c>
    </row>
    <row r="139" spans="1:6" ht="57.75" x14ac:dyDescent="0.25">
      <c r="A139" s="218">
        <f t="shared" si="6"/>
        <v>7</v>
      </c>
      <c r="B139" s="17" t="s">
        <v>27</v>
      </c>
      <c r="C139" s="119" t="s">
        <v>64</v>
      </c>
      <c r="D139" s="61">
        <v>23</v>
      </c>
      <c r="E139" s="242">
        <v>83312</v>
      </c>
      <c r="F139" s="249">
        <f t="shared" si="7"/>
        <v>1916176</v>
      </c>
    </row>
    <row r="140" spans="1:6" x14ac:dyDescent="0.25">
      <c r="A140" s="218">
        <f t="shared" si="6"/>
        <v>8</v>
      </c>
      <c r="B140" s="188" t="s">
        <v>28</v>
      </c>
      <c r="C140" s="20"/>
      <c r="D140" s="20"/>
      <c r="E140" s="242"/>
      <c r="F140" s="249">
        <f t="shared" si="7"/>
        <v>0</v>
      </c>
    </row>
    <row r="141" spans="1:6" ht="29.25" x14ac:dyDescent="0.25">
      <c r="A141" s="218">
        <f t="shared" si="6"/>
        <v>9</v>
      </c>
      <c r="B141" s="17" t="s">
        <v>29</v>
      </c>
      <c r="C141" s="119" t="s">
        <v>64</v>
      </c>
      <c r="D141" s="61">
        <v>228</v>
      </c>
      <c r="E141" s="242">
        <v>26317</v>
      </c>
      <c r="F141" s="249">
        <f t="shared" si="7"/>
        <v>6000276</v>
      </c>
    </row>
    <row r="142" spans="1:6" ht="29.25" x14ac:dyDescent="0.25">
      <c r="A142" s="218">
        <f t="shared" si="6"/>
        <v>10</v>
      </c>
      <c r="B142" s="17" t="s">
        <v>30</v>
      </c>
      <c r="C142" s="119" t="s">
        <v>64</v>
      </c>
      <c r="D142" s="61">
        <v>16</v>
      </c>
      <c r="E142" s="242">
        <v>30682</v>
      </c>
      <c r="F142" s="249">
        <f t="shared" si="7"/>
        <v>490912</v>
      </c>
    </row>
    <row r="143" spans="1:6" x14ac:dyDescent="0.25">
      <c r="A143" s="218">
        <f t="shared" si="6"/>
        <v>11</v>
      </c>
      <c r="B143" s="17" t="s">
        <v>31</v>
      </c>
      <c r="C143" s="119" t="s">
        <v>18</v>
      </c>
      <c r="D143" s="61">
        <v>84</v>
      </c>
      <c r="E143" s="242">
        <v>31128</v>
      </c>
      <c r="F143" s="249">
        <f t="shared" si="7"/>
        <v>2614752</v>
      </c>
    </row>
    <row r="144" spans="1:6" ht="29.25" x14ac:dyDescent="0.25">
      <c r="A144" s="218">
        <f t="shared" si="6"/>
        <v>12</v>
      </c>
      <c r="B144" s="17" t="s">
        <v>32</v>
      </c>
      <c r="C144" s="119" t="s">
        <v>64</v>
      </c>
      <c r="D144" s="61">
        <v>76</v>
      </c>
      <c r="E144" s="242">
        <v>32749</v>
      </c>
      <c r="F144" s="249">
        <f t="shared" si="7"/>
        <v>2488924</v>
      </c>
    </row>
    <row r="145" spans="1:11" ht="30" x14ac:dyDescent="0.25">
      <c r="A145" s="218">
        <f t="shared" si="6"/>
        <v>13</v>
      </c>
      <c r="B145" s="188" t="s">
        <v>33</v>
      </c>
      <c r="C145" s="20"/>
      <c r="D145" s="20"/>
      <c r="E145" s="242"/>
      <c r="F145" s="249">
        <f t="shared" si="7"/>
        <v>0</v>
      </c>
    </row>
    <row r="146" spans="1:11" ht="29.25" x14ac:dyDescent="0.25">
      <c r="A146" s="218">
        <f t="shared" si="6"/>
        <v>14</v>
      </c>
      <c r="B146" s="17" t="s">
        <v>66</v>
      </c>
      <c r="C146" s="119" t="s">
        <v>18</v>
      </c>
      <c r="D146" s="61">
        <v>84</v>
      </c>
      <c r="E146" s="242">
        <v>23772</v>
      </c>
      <c r="F146" s="249">
        <f t="shared" si="7"/>
        <v>1996848</v>
      </c>
    </row>
    <row r="147" spans="1:11" ht="71.25" x14ac:dyDescent="0.25">
      <c r="A147" s="218">
        <f t="shared" si="6"/>
        <v>15</v>
      </c>
      <c r="B147" s="57" t="s">
        <v>35</v>
      </c>
      <c r="C147" s="119" t="s">
        <v>18</v>
      </c>
      <c r="D147" s="61">
        <v>2</v>
      </c>
      <c r="E147" s="242">
        <v>637411</v>
      </c>
      <c r="F147" s="249">
        <f t="shared" si="7"/>
        <v>1274822</v>
      </c>
    </row>
    <row r="148" spans="1:11" x14ac:dyDescent="0.25">
      <c r="A148" s="218">
        <f t="shared" si="6"/>
        <v>16</v>
      </c>
      <c r="B148" s="17" t="s">
        <v>38</v>
      </c>
      <c r="C148" s="119" t="s">
        <v>37</v>
      </c>
      <c r="D148" s="61">
        <v>2</v>
      </c>
      <c r="E148" s="242">
        <v>540447</v>
      </c>
      <c r="F148" s="249">
        <f t="shared" si="7"/>
        <v>1080894</v>
      </c>
    </row>
    <row r="149" spans="1:11" ht="43.5" x14ac:dyDescent="0.25">
      <c r="A149" s="218">
        <f t="shared" si="6"/>
        <v>17</v>
      </c>
      <c r="B149" s="17" t="s">
        <v>39</v>
      </c>
      <c r="C149" s="119" t="s">
        <v>18</v>
      </c>
      <c r="D149" s="61">
        <v>72</v>
      </c>
      <c r="E149" s="242">
        <v>13802</v>
      </c>
      <c r="F149" s="249">
        <f t="shared" si="7"/>
        <v>993744</v>
      </c>
    </row>
    <row r="150" spans="1:11" ht="57.75" x14ac:dyDescent="0.25">
      <c r="A150" s="218">
        <f t="shared" si="6"/>
        <v>18</v>
      </c>
      <c r="B150" s="17" t="s">
        <v>40</v>
      </c>
      <c r="C150" s="119" t="s">
        <v>23</v>
      </c>
      <c r="D150" s="61">
        <v>17</v>
      </c>
      <c r="E150" s="242">
        <v>399818</v>
      </c>
      <c r="F150" s="249">
        <f t="shared" si="7"/>
        <v>6796906</v>
      </c>
    </row>
    <row r="151" spans="1:11" ht="29.25" x14ac:dyDescent="0.25">
      <c r="A151" s="218">
        <f t="shared" si="6"/>
        <v>19</v>
      </c>
      <c r="B151" s="17" t="s">
        <v>67</v>
      </c>
      <c r="C151" s="119" t="s">
        <v>23</v>
      </c>
      <c r="D151" s="61">
        <v>17</v>
      </c>
      <c r="E151" s="242">
        <v>43482</v>
      </c>
      <c r="F151" s="249">
        <f t="shared" si="7"/>
        <v>739194</v>
      </c>
    </row>
    <row r="152" spans="1:11" x14ac:dyDescent="0.25">
      <c r="A152" s="218">
        <f t="shared" si="6"/>
        <v>20</v>
      </c>
      <c r="B152" s="17" t="s">
        <v>42</v>
      </c>
      <c r="C152" s="119" t="s">
        <v>23</v>
      </c>
      <c r="D152" s="61">
        <v>2</v>
      </c>
      <c r="E152" s="242">
        <v>90312</v>
      </c>
      <c r="F152" s="249">
        <f t="shared" si="7"/>
        <v>180624</v>
      </c>
    </row>
    <row r="153" spans="1:11" x14ac:dyDescent="0.25">
      <c r="A153" s="218">
        <f t="shared" si="6"/>
        <v>21</v>
      </c>
      <c r="B153" s="188" t="s">
        <v>43</v>
      </c>
      <c r="C153" s="20"/>
      <c r="D153" s="20"/>
      <c r="E153" s="242"/>
      <c r="F153" s="249">
        <f t="shared" si="7"/>
        <v>0</v>
      </c>
    </row>
    <row r="154" spans="1:11" x14ac:dyDescent="0.25">
      <c r="A154" s="218">
        <f t="shared" si="6"/>
        <v>22</v>
      </c>
      <c r="B154" s="17" t="s">
        <v>44</v>
      </c>
      <c r="C154" s="119" t="s">
        <v>64</v>
      </c>
      <c r="D154" s="61">
        <v>14</v>
      </c>
      <c r="E154" s="242">
        <v>120657</v>
      </c>
      <c r="F154" s="249">
        <f t="shared" si="7"/>
        <v>1689198</v>
      </c>
    </row>
    <row r="155" spans="1:11" ht="29.25" x14ac:dyDescent="0.25">
      <c r="A155" s="218">
        <f t="shared" si="6"/>
        <v>23</v>
      </c>
      <c r="B155" s="17" t="s">
        <v>45</v>
      </c>
      <c r="C155" s="119" t="s">
        <v>64</v>
      </c>
      <c r="D155" s="61">
        <v>190</v>
      </c>
      <c r="E155" s="242">
        <v>22131</v>
      </c>
      <c r="F155" s="249">
        <f t="shared" si="7"/>
        <v>4204890</v>
      </c>
    </row>
    <row r="156" spans="1:11" x14ac:dyDescent="0.25">
      <c r="A156" s="218">
        <f t="shared" si="6"/>
        <v>24</v>
      </c>
      <c r="B156" s="17" t="s">
        <v>46</v>
      </c>
      <c r="C156" s="119" t="s">
        <v>64</v>
      </c>
      <c r="D156" s="61">
        <v>30</v>
      </c>
      <c r="E156" s="242">
        <v>144847</v>
      </c>
      <c r="F156" s="249">
        <f t="shared" si="7"/>
        <v>4345410</v>
      </c>
    </row>
    <row r="157" spans="1:11" x14ac:dyDescent="0.25">
      <c r="A157" s="218">
        <f t="shared" si="6"/>
        <v>25</v>
      </c>
      <c r="B157" s="188" t="s">
        <v>48</v>
      </c>
      <c r="C157" s="20"/>
      <c r="D157" s="20"/>
      <c r="E157" s="242"/>
      <c r="F157" s="249">
        <f t="shared" si="7"/>
        <v>0</v>
      </c>
    </row>
    <row r="158" spans="1:11" ht="29.25" x14ac:dyDescent="0.25">
      <c r="A158" s="218">
        <f t="shared" si="6"/>
        <v>26</v>
      </c>
      <c r="B158" s="17" t="s">
        <v>49</v>
      </c>
      <c r="C158" s="119" t="s">
        <v>64</v>
      </c>
      <c r="D158" s="61">
        <v>2</v>
      </c>
      <c r="E158" s="242">
        <v>605480</v>
      </c>
      <c r="F158" s="249">
        <f t="shared" si="7"/>
        <v>1210960</v>
      </c>
    </row>
    <row r="159" spans="1:11" ht="29.25" x14ac:dyDescent="0.25">
      <c r="A159" s="218">
        <f t="shared" si="6"/>
        <v>27</v>
      </c>
      <c r="B159" s="17" t="s">
        <v>50</v>
      </c>
      <c r="C159" s="119" t="s">
        <v>64</v>
      </c>
      <c r="D159" s="61">
        <v>2</v>
      </c>
      <c r="E159" s="242">
        <v>822268</v>
      </c>
      <c r="F159" s="249">
        <f t="shared" si="7"/>
        <v>1644536</v>
      </c>
    </row>
    <row r="160" spans="1:11" x14ac:dyDescent="0.25">
      <c r="A160" s="218">
        <f t="shared" si="6"/>
        <v>28</v>
      </c>
      <c r="B160" s="188" t="s">
        <v>51</v>
      </c>
      <c r="C160" s="20"/>
      <c r="D160" s="20"/>
      <c r="E160" s="242"/>
      <c r="F160" s="249">
        <f t="shared" si="7"/>
        <v>0</v>
      </c>
      <c r="K160" s="80"/>
    </row>
    <row r="161" spans="1:6" ht="29.25" x14ac:dyDescent="0.25">
      <c r="A161" s="218">
        <f t="shared" si="6"/>
        <v>29</v>
      </c>
      <c r="B161" s="17" t="s">
        <v>52</v>
      </c>
      <c r="C161" s="119" t="s">
        <v>53</v>
      </c>
      <c r="D161" s="61">
        <v>36</v>
      </c>
      <c r="E161" s="242">
        <v>5922</v>
      </c>
      <c r="F161" s="249">
        <f t="shared" si="7"/>
        <v>213192</v>
      </c>
    </row>
    <row r="162" spans="1:6" x14ac:dyDescent="0.25">
      <c r="A162" s="216"/>
      <c r="B162" s="18" t="s">
        <v>56</v>
      </c>
      <c r="C162" s="54"/>
      <c r="D162" s="130"/>
      <c r="E162" s="28"/>
      <c r="F162" s="28">
        <f>ROUND(+F161+F160+F159+F158+F157+F156+F155+F154+F153+F152+F151+F150+F149+F148+F147+F146+F145+F144+F143+F142+F141+F140+F139+F138+F137+F136+F135+F134,0)</f>
        <v>45399892</v>
      </c>
    </row>
    <row r="163" spans="1:6" x14ac:dyDescent="0.25">
      <c r="A163" s="19"/>
      <c r="B163" s="19" t="s">
        <v>60</v>
      </c>
      <c r="C163" s="19"/>
      <c r="D163" s="19"/>
      <c r="E163" s="19"/>
      <c r="F163" s="29">
        <f>ROUND(F162/1.3495,0)</f>
        <v>33642010</v>
      </c>
    </row>
    <row r="164" spans="1:6" x14ac:dyDescent="0.25">
      <c r="A164" s="19"/>
      <c r="B164" s="19" t="s">
        <v>61</v>
      </c>
      <c r="C164" s="131">
        <v>0.24</v>
      </c>
      <c r="D164" s="19"/>
      <c r="E164" s="19"/>
      <c r="F164" s="29">
        <f>ROUND(F163*C164,0)</f>
        <v>8074082</v>
      </c>
    </row>
    <row r="165" spans="1:6" x14ac:dyDescent="0.25">
      <c r="A165" s="19"/>
      <c r="B165" s="19" t="s">
        <v>57</v>
      </c>
      <c r="C165" s="131">
        <v>0.05</v>
      </c>
      <c r="D165" s="19"/>
      <c r="E165" s="19"/>
      <c r="F165" s="29">
        <f>ROUND(F163*C165,0)</f>
        <v>1682101</v>
      </c>
    </row>
    <row r="166" spans="1:6" x14ac:dyDescent="0.25">
      <c r="A166" s="19"/>
      <c r="B166" s="19" t="s">
        <v>62</v>
      </c>
      <c r="C166" s="131">
        <v>0.05</v>
      </c>
      <c r="D166" s="19"/>
      <c r="E166" s="19"/>
      <c r="F166" s="29">
        <f>ROUND(F163*C166,0)</f>
        <v>1682101</v>
      </c>
    </row>
    <row r="167" spans="1:6" x14ac:dyDescent="0.25">
      <c r="A167" s="250"/>
      <c r="B167" s="19" t="s">
        <v>63</v>
      </c>
      <c r="C167" s="131">
        <v>0.19</v>
      </c>
      <c r="D167" s="250"/>
      <c r="E167" s="250"/>
      <c r="F167" s="29">
        <f>ROUND(F166*19%,0)</f>
        <v>319599</v>
      </c>
    </row>
    <row r="168" spans="1:6" x14ac:dyDescent="0.25">
      <c r="A168" s="120"/>
      <c r="B168" s="18" t="s">
        <v>56</v>
      </c>
      <c r="C168" s="120"/>
      <c r="D168" s="120"/>
      <c r="E168" s="120"/>
      <c r="F168" s="30">
        <f>SUM(F163:F167)</f>
        <v>45399893</v>
      </c>
    </row>
    <row r="169" spans="1:6" ht="36.75" customHeight="1" x14ac:dyDescent="0.25">
      <c r="A169" s="422" t="s">
        <v>835</v>
      </c>
      <c r="B169" s="422"/>
      <c r="C169" s="422"/>
      <c r="D169" s="422"/>
      <c r="E169" s="422"/>
      <c r="F169" s="422"/>
    </row>
    <row r="170" spans="1:6" x14ac:dyDescent="0.25">
      <c r="A170" s="420" t="s">
        <v>10</v>
      </c>
      <c r="B170" s="420" t="s">
        <v>0</v>
      </c>
      <c r="C170" s="420" t="s">
        <v>11</v>
      </c>
      <c r="D170" s="420" t="s">
        <v>12</v>
      </c>
      <c r="E170" s="420"/>
      <c r="F170" s="420"/>
    </row>
    <row r="171" spans="1:6" x14ac:dyDescent="0.25">
      <c r="A171" s="420"/>
      <c r="B171" s="420"/>
      <c r="C171" s="420"/>
      <c r="D171" s="54" t="s">
        <v>13</v>
      </c>
      <c r="E171" s="54" t="s">
        <v>14</v>
      </c>
      <c r="F171" s="54" t="s">
        <v>15</v>
      </c>
    </row>
    <row r="172" spans="1:6" x14ac:dyDescent="0.25">
      <c r="A172" s="218">
        <f t="shared" ref="A172:A205" si="8">A171+1</f>
        <v>1</v>
      </c>
      <c r="B172" s="188" t="s">
        <v>16</v>
      </c>
      <c r="C172" s="420"/>
      <c r="D172" s="420"/>
      <c r="E172" s="420"/>
      <c r="F172" s="20"/>
    </row>
    <row r="173" spans="1:6" x14ac:dyDescent="0.25">
      <c r="A173" s="218">
        <f t="shared" si="8"/>
        <v>2</v>
      </c>
      <c r="B173" s="17" t="s">
        <v>73</v>
      </c>
      <c r="C173" s="119" t="s">
        <v>18</v>
      </c>
      <c r="D173" s="61">
        <v>185</v>
      </c>
      <c r="E173" s="242">
        <v>5214</v>
      </c>
      <c r="F173" s="243">
        <f>D173*E173</f>
        <v>964590</v>
      </c>
    </row>
    <row r="174" spans="1:6" ht="43.5" x14ac:dyDescent="0.25">
      <c r="A174" s="218">
        <f>A173+1</f>
        <v>3</v>
      </c>
      <c r="B174" s="17" t="s">
        <v>21</v>
      </c>
      <c r="C174" s="119" t="s">
        <v>18</v>
      </c>
      <c r="D174" s="61">
        <v>382</v>
      </c>
      <c r="E174" s="242">
        <v>13608</v>
      </c>
      <c r="F174" s="243">
        <f t="shared" ref="F174:F205" si="9">D174*E174</f>
        <v>5198256</v>
      </c>
    </row>
    <row r="175" spans="1:6" ht="29.25" x14ac:dyDescent="0.25">
      <c r="A175" s="218">
        <f t="shared" si="8"/>
        <v>4</v>
      </c>
      <c r="B175" s="17" t="s">
        <v>22</v>
      </c>
      <c r="C175" s="119" t="s">
        <v>23</v>
      </c>
      <c r="D175" s="61">
        <v>6</v>
      </c>
      <c r="E175" s="242">
        <v>155349</v>
      </c>
      <c r="F175" s="243">
        <f t="shared" si="9"/>
        <v>932094</v>
      </c>
    </row>
    <row r="176" spans="1:6" x14ac:dyDescent="0.25">
      <c r="A176" s="218">
        <f t="shared" si="8"/>
        <v>5</v>
      </c>
      <c r="B176" s="188" t="s">
        <v>25</v>
      </c>
      <c r="C176" s="20"/>
      <c r="D176" s="20"/>
      <c r="E176" s="242">
        <v>0</v>
      </c>
      <c r="F176" s="243">
        <f t="shared" si="9"/>
        <v>0</v>
      </c>
    </row>
    <row r="177" spans="1:10" x14ac:dyDescent="0.25">
      <c r="A177" s="218">
        <f t="shared" si="8"/>
        <v>6</v>
      </c>
      <c r="B177" s="56" t="s">
        <v>26</v>
      </c>
      <c r="C177" s="119" t="s">
        <v>18</v>
      </c>
      <c r="D177" s="61">
        <v>10</v>
      </c>
      <c r="E177" s="242">
        <v>7630</v>
      </c>
      <c r="F177" s="243">
        <f t="shared" si="9"/>
        <v>76300</v>
      </c>
    </row>
    <row r="178" spans="1:10" ht="57.75" x14ac:dyDescent="0.25">
      <c r="A178" s="218">
        <f t="shared" si="8"/>
        <v>7</v>
      </c>
      <c r="B178" s="17" t="s">
        <v>27</v>
      </c>
      <c r="C178" s="119" t="s">
        <v>64</v>
      </c>
      <c r="D178" s="61">
        <v>2</v>
      </c>
      <c r="E178" s="242">
        <v>83312</v>
      </c>
      <c r="F178" s="243">
        <f t="shared" si="9"/>
        <v>166624</v>
      </c>
      <c r="J178" s="80"/>
    </row>
    <row r="179" spans="1:10" x14ac:dyDescent="0.25">
      <c r="A179" s="218">
        <f t="shared" si="8"/>
        <v>8</v>
      </c>
      <c r="B179" s="188" t="s">
        <v>28</v>
      </c>
      <c r="C179" s="20"/>
      <c r="D179" s="20"/>
      <c r="E179" s="242">
        <v>0</v>
      </c>
      <c r="F179" s="243">
        <f t="shared" si="9"/>
        <v>0</v>
      </c>
      <c r="J179" s="80"/>
    </row>
    <row r="180" spans="1:10" ht="29.25" x14ac:dyDescent="0.25">
      <c r="A180" s="218">
        <f t="shared" si="8"/>
        <v>9</v>
      </c>
      <c r="B180" s="17" t="s">
        <v>29</v>
      </c>
      <c r="C180" s="119" t="s">
        <v>64</v>
      </c>
      <c r="D180" s="61">
        <v>568</v>
      </c>
      <c r="E180" s="242">
        <v>26317</v>
      </c>
      <c r="F180" s="243">
        <f t="shared" si="9"/>
        <v>14948056</v>
      </c>
      <c r="J180" s="80"/>
    </row>
    <row r="181" spans="1:10" ht="29.25" x14ac:dyDescent="0.25">
      <c r="A181" s="218">
        <f t="shared" si="8"/>
        <v>10</v>
      </c>
      <c r="B181" s="17" t="s">
        <v>30</v>
      </c>
      <c r="C181" s="119" t="s">
        <v>64</v>
      </c>
      <c r="D181" s="61">
        <v>142</v>
      </c>
      <c r="E181" s="242">
        <v>30682</v>
      </c>
      <c r="F181" s="243">
        <f t="shared" si="9"/>
        <v>4356844</v>
      </c>
      <c r="J181" s="80"/>
    </row>
    <row r="182" spans="1:10" x14ac:dyDescent="0.25">
      <c r="A182" s="218">
        <f t="shared" si="8"/>
        <v>11</v>
      </c>
      <c r="B182" s="17" t="s">
        <v>836</v>
      </c>
      <c r="C182" s="119" t="s">
        <v>18</v>
      </c>
      <c r="D182" s="61">
        <v>500</v>
      </c>
      <c r="E182" s="242">
        <v>31128</v>
      </c>
      <c r="F182" s="243">
        <f t="shared" si="9"/>
        <v>15564000</v>
      </c>
      <c r="J182" s="80"/>
    </row>
    <row r="183" spans="1:10" ht="29.25" x14ac:dyDescent="0.25">
      <c r="A183" s="218">
        <f t="shared" si="8"/>
        <v>12</v>
      </c>
      <c r="B183" s="17" t="s">
        <v>32</v>
      </c>
      <c r="C183" s="119" t="s">
        <v>64</v>
      </c>
      <c r="D183" s="61">
        <v>192</v>
      </c>
      <c r="E183" s="242">
        <v>32749</v>
      </c>
      <c r="F183" s="243">
        <f t="shared" si="9"/>
        <v>6287808</v>
      </c>
    </row>
    <row r="184" spans="1:10" ht="30" x14ac:dyDescent="0.25">
      <c r="A184" s="218">
        <f t="shared" si="8"/>
        <v>13</v>
      </c>
      <c r="B184" s="188" t="s">
        <v>33</v>
      </c>
      <c r="C184" s="20"/>
      <c r="D184" s="20"/>
      <c r="E184" s="242">
        <v>0</v>
      </c>
      <c r="F184" s="243">
        <f t="shared" si="9"/>
        <v>0</v>
      </c>
    </row>
    <row r="185" spans="1:10" ht="29.25" x14ac:dyDescent="0.25">
      <c r="A185" s="218">
        <f t="shared" si="8"/>
        <v>14</v>
      </c>
      <c r="B185" s="17" t="s">
        <v>66</v>
      </c>
      <c r="C185" s="119" t="s">
        <v>18</v>
      </c>
      <c r="D185" s="61">
        <v>42</v>
      </c>
      <c r="E185" s="242">
        <v>23772</v>
      </c>
      <c r="F185" s="243">
        <f t="shared" si="9"/>
        <v>998424</v>
      </c>
    </row>
    <row r="186" spans="1:10" ht="29.25" x14ac:dyDescent="0.25">
      <c r="A186" s="218">
        <f t="shared" si="8"/>
        <v>15</v>
      </c>
      <c r="B186" s="17" t="s">
        <v>280</v>
      </c>
      <c r="C186" s="119" t="s">
        <v>18</v>
      </c>
      <c r="D186" s="61">
        <v>143</v>
      </c>
      <c r="E186" s="242">
        <v>47544</v>
      </c>
      <c r="F186" s="243">
        <f t="shared" si="9"/>
        <v>6798792</v>
      </c>
    </row>
    <row r="187" spans="1:10" ht="71.25" x14ac:dyDescent="0.25">
      <c r="A187" s="218">
        <f t="shared" si="8"/>
        <v>16</v>
      </c>
      <c r="B187" s="57" t="s">
        <v>35</v>
      </c>
      <c r="C187" s="119" t="s">
        <v>18</v>
      </c>
      <c r="D187" s="61">
        <v>5</v>
      </c>
      <c r="E187" s="242">
        <v>637411</v>
      </c>
      <c r="F187" s="243">
        <f t="shared" si="9"/>
        <v>3187055</v>
      </c>
    </row>
    <row r="188" spans="1:10" ht="57.75" x14ac:dyDescent="0.25">
      <c r="A188" s="218">
        <f t="shared" si="8"/>
        <v>17</v>
      </c>
      <c r="B188" s="17" t="s">
        <v>74</v>
      </c>
      <c r="C188" s="119" t="s">
        <v>37</v>
      </c>
      <c r="D188" s="61">
        <v>5</v>
      </c>
      <c r="E188" s="242">
        <v>777600</v>
      </c>
      <c r="F188" s="243">
        <f t="shared" si="9"/>
        <v>3888000</v>
      </c>
    </row>
    <row r="189" spans="1:10" x14ac:dyDescent="0.25">
      <c r="A189" s="218">
        <f t="shared" si="8"/>
        <v>18</v>
      </c>
      <c r="B189" s="17" t="s">
        <v>38</v>
      </c>
      <c r="C189" s="119" t="s">
        <v>37</v>
      </c>
      <c r="D189" s="61">
        <v>2</v>
      </c>
      <c r="E189" s="242">
        <v>540447</v>
      </c>
      <c r="F189" s="243">
        <f t="shared" si="9"/>
        <v>1080894</v>
      </c>
    </row>
    <row r="190" spans="1:10" ht="43.5" x14ac:dyDescent="0.25">
      <c r="A190" s="218">
        <f t="shared" si="8"/>
        <v>19</v>
      </c>
      <c r="B190" s="17" t="s">
        <v>39</v>
      </c>
      <c r="C190" s="119" t="s">
        <v>18</v>
      </c>
      <c r="D190" s="61">
        <v>144</v>
      </c>
      <c r="E190" s="242">
        <v>13802</v>
      </c>
      <c r="F190" s="243">
        <f t="shared" si="9"/>
        <v>1987488</v>
      </c>
    </row>
    <row r="191" spans="1:10" ht="57.75" x14ac:dyDescent="0.25">
      <c r="A191" s="218">
        <f t="shared" si="8"/>
        <v>20</v>
      </c>
      <c r="B191" s="17" t="s">
        <v>75</v>
      </c>
      <c r="C191" s="119" t="s">
        <v>23</v>
      </c>
      <c r="D191" s="61">
        <v>24</v>
      </c>
      <c r="E191" s="242">
        <v>399818</v>
      </c>
      <c r="F191" s="243">
        <f t="shared" si="9"/>
        <v>9595632</v>
      </c>
    </row>
    <row r="192" spans="1:10" ht="29.25" x14ac:dyDescent="0.25">
      <c r="A192" s="218">
        <f t="shared" si="8"/>
        <v>21</v>
      </c>
      <c r="B192" s="17" t="s">
        <v>67</v>
      </c>
      <c r="C192" s="119" t="s">
        <v>23</v>
      </c>
      <c r="D192" s="61">
        <v>6</v>
      </c>
      <c r="E192" s="242">
        <v>43482</v>
      </c>
      <c r="F192" s="243">
        <f t="shared" si="9"/>
        <v>260892</v>
      </c>
    </row>
    <row r="193" spans="1:6" ht="29.25" x14ac:dyDescent="0.25">
      <c r="A193" s="218">
        <f t="shared" si="8"/>
        <v>22</v>
      </c>
      <c r="B193" s="17" t="s">
        <v>282</v>
      </c>
      <c r="C193" s="119" t="s">
        <v>23</v>
      </c>
      <c r="D193" s="61">
        <v>18</v>
      </c>
      <c r="E193" s="242">
        <v>49187</v>
      </c>
      <c r="F193" s="243">
        <f t="shared" si="9"/>
        <v>885366</v>
      </c>
    </row>
    <row r="194" spans="1:6" x14ac:dyDescent="0.25">
      <c r="A194" s="218">
        <f t="shared" si="8"/>
        <v>23</v>
      </c>
      <c r="B194" s="17" t="s">
        <v>42</v>
      </c>
      <c r="C194" s="119" t="s">
        <v>23</v>
      </c>
      <c r="D194" s="61">
        <v>8</v>
      </c>
      <c r="E194" s="242">
        <v>90312</v>
      </c>
      <c r="F194" s="243">
        <f t="shared" si="9"/>
        <v>722496</v>
      </c>
    </row>
    <row r="195" spans="1:6" x14ac:dyDescent="0.25">
      <c r="A195" s="218">
        <f t="shared" si="8"/>
        <v>24</v>
      </c>
      <c r="B195" s="188" t="s">
        <v>43</v>
      </c>
      <c r="C195" s="20"/>
      <c r="D195" s="20"/>
      <c r="E195" s="242">
        <v>0</v>
      </c>
      <c r="F195" s="243">
        <f t="shared" si="9"/>
        <v>0</v>
      </c>
    </row>
    <row r="196" spans="1:6" x14ac:dyDescent="0.25">
      <c r="A196" s="218">
        <f t="shared" si="8"/>
        <v>25</v>
      </c>
      <c r="B196" s="17" t="s">
        <v>44</v>
      </c>
      <c r="C196" s="119" t="s">
        <v>64</v>
      </c>
      <c r="D196" s="61">
        <v>42</v>
      </c>
      <c r="E196" s="242">
        <v>120657</v>
      </c>
      <c r="F196" s="243">
        <f t="shared" si="9"/>
        <v>5067594</v>
      </c>
    </row>
    <row r="197" spans="1:6" ht="29.25" x14ac:dyDescent="0.25">
      <c r="A197" s="218">
        <f t="shared" si="8"/>
        <v>26</v>
      </c>
      <c r="B197" s="17" t="s">
        <v>45</v>
      </c>
      <c r="C197" s="119" t="s">
        <v>64</v>
      </c>
      <c r="D197" s="61">
        <v>517</v>
      </c>
      <c r="E197" s="242">
        <v>22131</v>
      </c>
      <c r="F197" s="243">
        <f t="shared" si="9"/>
        <v>11441727</v>
      </c>
    </row>
    <row r="198" spans="1:6" x14ac:dyDescent="0.25">
      <c r="A198" s="218">
        <f t="shared" si="8"/>
        <v>27</v>
      </c>
      <c r="B198" s="17" t="s">
        <v>47</v>
      </c>
      <c r="C198" s="119" t="s">
        <v>64</v>
      </c>
      <c r="D198" s="61">
        <v>12</v>
      </c>
      <c r="E198" s="242">
        <v>85000</v>
      </c>
      <c r="F198" s="243">
        <f t="shared" si="9"/>
        <v>1020000</v>
      </c>
    </row>
    <row r="199" spans="1:6" x14ac:dyDescent="0.25">
      <c r="A199" s="218">
        <f t="shared" si="8"/>
        <v>28</v>
      </c>
      <c r="B199" s="188" t="s">
        <v>48</v>
      </c>
      <c r="C199" s="20"/>
      <c r="D199" s="20"/>
      <c r="E199" s="242">
        <v>0</v>
      </c>
      <c r="F199" s="243">
        <f t="shared" si="9"/>
        <v>0</v>
      </c>
    </row>
    <row r="200" spans="1:6" ht="29.25" x14ac:dyDescent="0.25">
      <c r="A200" s="218">
        <f t="shared" si="8"/>
        <v>29</v>
      </c>
      <c r="B200" s="17" t="s">
        <v>49</v>
      </c>
      <c r="C200" s="119" t="s">
        <v>64</v>
      </c>
      <c r="D200" s="61">
        <v>2</v>
      </c>
      <c r="E200" s="242">
        <v>605480</v>
      </c>
      <c r="F200" s="243">
        <f t="shared" si="9"/>
        <v>1210960</v>
      </c>
    </row>
    <row r="201" spans="1:6" ht="29.25" x14ac:dyDescent="0.25">
      <c r="A201" s="218">
        <f t="shared" si="8"/>
        <v>30</v>
      </c>
      <c r="B201" s="17" t="s">
        <v>50</v>
      </c>
      <c r="C201" s="119" t="s">
        <v>64</v>
      </c>
      <c r="D201" s="61">
        <v>0.5</v>
      </c>
      <c r="E201" s="242">
        <v>822268</v>
      </c>
      <c r="F201" s="243">
        <f t="shared" si="9"/>
        <v>411134</v>
      </c>
    </row>
    <row r="202" spans="1:6" x14ac:dyDescent="0.25">
      <c r="A202" s="218">
        <f t="shared" si="8"/>
        <v>31</v>
      </c>
      <c r="B202" s="188" t="s">
        <v>51</v>
      </c>
      <c r="C202" s="20"/>
      <c r="D202" s="20"/>
      <c r="E202" s="242">
        <v>0</v>
      </c>
      <c r="F202" s="243">
        <f t="shared" si="9"/>
        <v>0</v>
      </c>
    </row>
    <row r="203" spans="1:6" ht="29.25" x14ac:dyDescent="0.25">
      <c r="A203" s="218">
        <f t="shared" si="8"/>
        <v>32</v>
      </c>
      <c r="B203" s="17" t="s">
        <v>52</v>
      </c>
      <c r="C203" s="119" t="s">
        <v>53</v>
      </c>
      <c r="D203" s="61">
        <v>120</v>
      </c>
      <c r="E203" s="242">
        <v>5922</v>
      </c>
      <c r="F203" s="243">
        <f t="shared" si="9"/>
        <v>710640</v>
      </c>
    </row>
    <row r="204" spans="1:6" ht="43.5" x14ac:dyDescent="0.25">
      <c r="A204" s="218">
        <f t="shared" si="8"/>
        <v>33</v>
      </c>
      <c r="B204" s="17" t="s">
        <v>841</v>
      </c>
      <c r="C204" s="218" t="s">
        <v>55</v>
      </c>
      <c r="D204" s="31">
        <v>1</v>
      </c>
      <c r="E204" s="59">
        <f>1673138</f>
        <v>1673138</v>
      </c>
      <c r="F204" s="58">
        <f t="shared" si="9"/>
        <v>1673138</v>
      </c>
    </row>
    <row r="205" spans="1:6" ht="29.25" x14ac:dyDescent="0.25">
      <c r="A205" s="218">
        <f t="shared" si="8"/>
        <v>34</v>
      </c>
      <c r="B205" s="17" t="s">
        <v>842</v>
      </c>
      <c r="C205" s="218" t="s">
        <v>23</v>
      </c>
      <c r="D205" s="31">
        <v>1</v>
      </c>
      <c r="E205" s="58">
        <v>788768</v>
      </c>
      <c r="F205" s="58">
        <f t="shared" si="9"/>
        <v>788768</v>
      </c>
    </row>
    <row r="206" spans="1:6" x14ac:dyDescent="0.25">
      <c r="A206" s="218"/>
      <c r="B206" s="17"/>
      <c r="C206" s="119"/>
      <c r="D206" s="61"/>
      <c r="E206" s="242"/>
      <c r="F206" s="243"/>
    </row>
    <row r="207" spans="1:6" x14ac:dyDescent="0.25">
      <c r="A207" s="216"/>
      <c r="B207" s="18" t="s">
        <v>56</v>
      </c>
      <c r="C207" s="54"/>
      <c r="D207" s="130"/>
      <c r="E207" s="28"/>
      <c r="F207" s="28">
        <f>ROUND(F206+F203+F202+F201+F200+F199+F198+F197+F196+F195+F194+F193+F192+F191+F190+F189+F188+F187+F186+F185+F184+F183+F182+F181+F180+F179+F178+F177+F176+F175+F174+F173+F204+F205,0)</f>
        <v>100223572</v>
      </c>
    </row>
    <row r="208" spans="1:6" x14ac:dyDescent="0.25">
      <c r="A208" s="19"/>
      <c r="B208" s="19" t="s">
        <v>60</v>
      </c>
      <c r="C208" s="19"/>
      <c r="D208" s="19"/>
      <c r="E208" s="19"/>
      <c r="F208" s="29">
        <f>ROUND(F207/1.3495,0)</f>
        <v>74267189</v>
      </c>
    </row>
    <row r="209" spans="1:6" x14ac:dyDescent="0.25">
      <c r="A209" s="19"/>
      <c r="B209" s="19" t="s">
        <v>61</v>
      </c>
      <c r="C209" s="131">
        <v>0.24</v>
      </c>
      <c r="D209" s="19"/>
      <c r="E209" s="19"/>
      <c r="F209" s="29">
        <f>ROUND(F208*C209,0)</f>
        <v>17824125</v>
      </c>
    </row>
    <row r="210" spans="1:6" x14ac:dyDescent="0.25">
      <c r="A210" s="19"/>
      <c r="B210" s="19" t="s">
        <v>57</v>
      </c>
      <c r="C210" s="131">
        <v>0.05</v>
      </c>
      <c r="D210" s="19"/>
      <c r="E210" s="19"/>
      <c r="F210" s="29">
        <f>ROUND(F208*C210,0)</f>
        <v>3713359</v>
      </c>
    </row>
    <row r="211" spans="1:6" x14ac:dyDescent="0.25">
      <c r="A211" s="19"/>
      <c r="B211" s="19" t="s">
        <v>62</v>
      </c>
      <c r="C211" s="131">
        <v>0.05</v>
      </c>
      <c r="D211" s="19"/>
      <c r="E211" s="19"/>
      <c r="F211" s="29">
        <f>ROUND(F208*C211,0)</f>
        <v>3713359</v>
      </c>
    </row>
    <row r="212" spans="1:6" x14ac:dyDescent="0.25">
      <c r="A212" s="250"/>
      <c r="B212" s="19" t="s">
        <v>63</v>
      </c>
      <c r="C212" s="131">
        <v>0.19</v>
      </c>
      <c r="D212" s="250"/>
      <c r="E212" s="250"/>
      <c r="F212" s="29">
        <f>ROUND(F211*19%,0)</f>
        <v>705538</v>
      </c>
    </row>
    <row r="213" spans="1:6" x14ac:dyDescent="0.25">
      <c r="A213" s="120"/>
      <c r="B213" s="18" t="s">
        <v>56</v>
      </c>
      <c r="C213" s="120"/>
      <c r="D213" s="120"/>
      <c r="E213" s="120"/>
      <c r="F213" s="30">
        <f>SUM(F208:F212)</f>
        <v>100223570</v>
      </c>
    </row>
    <row r="215" spans="1:6" x14ac:dyDescent="0.25">
      <c r="A215" s="422" t="s">
        <v>76</v>
      </c>
      <c r="B215" s="422"/>
      <c r="C215" s="422"/>
      <c r="D215" s="422"/>
      <c r="E215" s="422"/>
      <c r="F215" s="422"/>
    </row>
    <row r="216" spans="1:6" x14ac:dyDescent="0.25">
      <c r="A216" s="420" t="s">
        <v>10</v>
      </c>
      <c r="B216" s="420" t="s">
        <v>0</v>
      </c>
      <c r="C216" s="420" t="s">
        <v>11</v>
      </c>
      <c r="D216" s="420" t="s">
        <v>12</v>
      </c>
      <c r="E216" s="420"/>
      <c r="F216" s="420"/>
    </row>
    <row r="217" spans="1:6" x14ac:dyDescent="0.25">
      <c r="A217" s="420"/>
      <c r="B217" s="420"/>
      <c r="C217" s="420"/>
      <c r="D217" s="54" t="s">
        <v>13</v>
      </c>
      <c r="E217" s="54" t="s">
        <v>14</v>
      </c>
      <c r="F217" s="54" t="s">
        <v>15</v>
      </c>
    </row>
    <row r="218" spans="1:6" x14ac:dyDescent="0.25">
      <c r="A218" s="218">
        <v>1</v>
      </c>
      <c r="B218" s="18" t="s">
        <v>16</v>
      </c>
      <c r="C218" s="420"/>
      <c r="D218" s="420"/>
      <c r="E218" s="420"/>
      <c r="F218" s="20"/>
    </row>
    <row r="219" spans="1:6" ht="29.25" x14ac:dyDescent="0.25">
      <c r="A219" s="218">
        <f>A218+1</f>
        <v>2</v>
      </c>
      <c r="B219" s="17" t="s">
        <v>77</v>
      </c>
      <c r="C219" s="218" t="s">
        <v>18</v>
      </c>
      <c r="D219" s="31">
        <v>96</v>
      </c>
      <c r="E219" s="58">
        <v>5230</v>
      </c>
      <c r="F219" s="249">
        <f t="shared" ref="F219:F241" si="10">ROUND(D219*E219,0)</f>
        <v>502080</v>
      </c>
    </row>
    <row r="220" spans="1:6" ht="29.25" x14ac:dyDescent="0.25">
      <c r="A220" s="218">
        <f t="shared" ref="A220:A241" si="11">A219+1</f>
        <v>3</v>
      </c>
      <c r="B220" s="17" t="s">
        <v>22</v>
      </c>
      <c r="C220" s="218" t="s">
        <v>23</v>
      </c>
      <c r="D220" s="31">
        <v>2</v>
      </c>
      <c r="E220" s="58">
        <v>155814</v>
      </c>
      <c r="F220" s="249">
        <f t="shared" si="10"/>
        <v>311628</v>
      </c>
    </row>
    <row r="221" spans="1:6" x14ac:dyDescent="0.25">
      <c r="A221" s="218">
        <f t="shared" si="11"/>
        <v>4</v>
      </c>
      <c r="B221" s="18" t="s">
        <v>25</v>
      </c>
      <c r="C221" s="20"/>
      <c r="D221" s="20"/>
      <c r="E221" s="58"/>
      <c r="F221" s="249">
        <f t="shared" si="10"/>
        <v>0</v>
      </c>
    </row>
    <row r="222" spans="1:6" x14ac:dyDescent="0.25">
      <c r="A222" s="218">
        <f t="shared" si="11"/>
        <v>5</v>
      </c>
      <c r="B222" s="56" t="s">
        <v>26</v>
      </c>
      <c r="C222" s="218" t="s">
        <v>18</v>
      </c>
      <c r="D222" s="31">
        <v>10</v>
      </c>
      <c r="E222" s="58">
        <v>7652</v>
      </c>
      <c r="F222" s="249">
        <f t="shared" si="10"/>
        <v>76520</v>
      </c>
    </row>
    <row r="223" spans="1:6" ht="57.75" x14ac:dyDescent="0.25">
      <c r="A223" s="218">
        <f>A222+1</f>
        <v>6</v>
      </c>
      <c r="B223" s="17" t="s">
        <v>78</v>
      </c>
      <c r="C223" s="218" t="s">
        <v>64</v>
      </c>
      <c r="D223" s="31">
        <v>1</v>
      </c>
      <c r="E223" s="58">
        <v>83560</v>
      </c>
      <c r="F223" s="249">
        <f t="shared" si="10"/>
        <v>83560</v>
      </c>
    </row>
    <row r="224" spans="1:6" x14ac:dyDescent="0.25">
      <c r="A224" s="218">
        <f t="shared" si="11"/>
        <v>7</v>
      </c>
      <c r="B224" s="18" t="s">
        <v>28</v>
      </c>
      <c r="C224" s="20"/>
      <c r="D224" s="20"/>
      <c r="E224" s="58"/>
      <c r="F224" s="249">
        <f t="shared" si="10"/>
        <v>0</v>
      </c>
    </row>
    <row r="225" spans="1:6" ht="29.25" x14ac:dyDescent="0.25">
      <c r="A225" s="218">
        <f t="shared" si="11"/>
        <v>8</v>
      </c>
      <c r="B225" s="17" t="s">
        <v>79</v>
      </c>
      <c r="C225" s="218" t="s">
        <v>64</v>
      </c>
      <c r="D225" s="31">
        <v>68</v>
      </c>
      <c r="E225" s="58">
        <v>26395</v>
      </c>
      <c r="F225" s="249">
        <f t="shared" si="10"/>
        <v>1794860</v>
      </c>
    </row>
    <row r="226" spans="1:6" ht="29.25" x14ac:dyDescent="0.25">
      <c r="A226" s="218">
        <f t="shared" si="11"/>
        <v>9</v>
      </c>
      <c r="B226" s="17" t="s">
        <v>32</v>
      </c>
      <c r="C226" s="218" t="s">
        <v>64</v>
      </c>
      <c r="D226" s="31">
        <v>45</v>
      </c>
      <c r="E226" s="58">
        <v>32848</v>
      </c>
      <c r="F226" s="249">
        <f t="shared" si="10"/>
        <v>1478160</v>
      </c>
    </row>
    <row r="227" spans="1:6" ht="30" x14ac:dyDescent="0.25">
      <c r="A227" s="218">
        <f t="shared" si="11"/>
        <v>10</v>
      </c>
      <c r="B227" s="188" t="s">
        <v>80</v>
      </c>
      <c r="C227" s="20"/>
      <c r="D227" s="20"/>
      <c r="E227" s="58"/>
      <c r="F227" s="249">
        <f t="shared" si="10"/>
        <v>0</v>
      </c>
    </row>
    <row r="228" spans="1:6" ht="29.25" x14ac:dyDescent="0.25">
      <c r="A228" s="218">
        <f t="shared" si="11"/>
        <v>11</v>
      </c>
      <c r="B228" s="17" t="s">
        <v>81</v>
      </c>
      <c r="C228" s="218" t="s">
        <v>18</v>
      </c>
      <c r="D228" s="31">
        <v>96</v>
      </c>
      <c r="E228" s="58">
        <f>1981*6</f>
        <v>11886</v>
      </c>
      <c r="F228" s="249">
        <f t="shared" si="10"/>
        <v>1141056</v>
      </c>
    </row>
    <row r="229" spans="1:6" ht="43.5" x14ac:dyDescent="0.25">
      <c r="A229" s="218">
        <f t="shared" si="11"/>
        <v>12</v>
      </c>
      <c r="B229" s="17" t="s">
        <v>82</v>
      </c>
      <c r="C229" s="218" t="s">
        <v>37</v>
      </c>
      <c r="D229" s="31">
        <v>11</v>
      </c>
      <c r="E229" s="58">
        <v>42039</v>
      </c>
      <c r="F229" s="249">
        <f t="shared" si="10"/>
        <v>462429</v>
      </c>
    </row>
    <row r="230" spans="1:6" x14ac:dyDescent="0.25">
      <c r="A230" s="218">
        <f t="shared" si="11"/>
        <v>13</v>
      </c>
      <c r="B230" s="57" t="s">
        <v>83</v>
      </c>
      <c r="C230" s="218" t="s">
        <v>37</v>
      </c>
      <c r="D230" s="31">
        <v>1</v>
      </c>
      <c r="E230" s="58">
        <v>210191</v>
      </c>
      <c r="F230" s="249">
        <f t="shared" si="10"/>
        <v>210191</v>
      </c>
    </row>
    <row r="231" spans="1:6" ht="57.75" x14ac:dyDescent="0.25">
      <c r="A231" s="218">
        <f t="shared" si="11"/>
        <v>14</v>
      </c>
      <c r="B231" s="17" t="s">
        <v>84</v>
      </c>
      <c r="C231" s="218" t="s">
        <v>37</v>
      </c>
      <c r="D231" s="31">
        <v>1</v>
      </c>
      <c r="E231" s="58">
        <v>345600</v>
      </c>
      <c r="F231" s="249">
        <f t="shared" si="10"/>
        <v>345600</v>
      </c>
    </row>
    <row r="232" spans="1:6" x14ac:dyDescent="0.25">
      <c r="A232" s="218">
        <f t="shared" si="11"/>
        <v>15</v>
      </c>
      <c r="B232" s="55" t="s">
        <v>85</v>
      </c>
      <c r="C232" s="218" t="s">
        <v>23</v>
      </c>
      <c r="D232" s="31">
        <v>2</v>
      </c>
      <c r="E232" s="58">
        <v>90583</v>
      </c>
      <c r="F232" s="249">
        <f t="shared" si="10"/>
        <v>181166</v>
      </c>
    </row>
    <row r="233" spans="1:6" x14ac:dyDescent="0.25">
      <c r="A233" s="218">
        <f t="shared" si="11"/>
        <v>16</v>
      </c>
      <c r="B233" s="18" t="s">
        <v>43</v>
      </c>
      <c r="C233" s="20"/>
      <c r="D233" s="20"/>
      <c r="E233" s="58"/>
      <c r="F233" s="249">
        <f t="shared" si="10"/>
        <v>0</v>
      </c>
    </row>
    <row r="234" spans="1:6" x14ac:dyDescent="0.25">
      <c r="A234" s="218">
        <f t="shared" si="11"/>
        <v>17</v>
      </c>
      <c r="B234" s="55" t="s">
        <v>44</v>
      </c>
      <c r="C234" s="218" t="s">
        <v>64</v>
      </c>
      <c r="D234" s="31">
        <v>11</v>
      </c>
      <c r="E234" s="58">
        <v>121019</v>
      </c>
      <c r="F234" s="249">
        <f t="shared" si="10"/>
        <v>1331209</v>
      </c>
    </row>
    <row r="235" spans="1:6" ht="29.25" x14ac:dyDescent="0.25">
      <c r="A235" s="218">
        <f t="shared" si="11"/>
        <v>18</v>
      </c>
      <c r="B235" s="17" t="s">
        <v>45</v>
      </c>
      <c r="C235" s="218" t="s">
        <v>64</v>
      </c>
      <c r="D235" s="31">
        <v>37</v>
      </c>
      <c r="E235" s="58">
        <v>22197</v>
      </c>
      <c r="F235" s="249">
        <f t="shared" si="10"/>
        <v>821289</v>
      </c>
    </row>
    <row r="236" spans="1:6" x14ac:dyDescent="0.25">
      <c r="A236" s="218">
        <f t="shared" si="11"/>
        <v>19</v>
      </c>
      <c r="B236" s="55" t="s">
        <v>47</v>
      </c>
      <c r="C236" s="218" t="s">
        <v>64</v>
      </c>
      <c r="D236" s="31">
        <v>2</v>
      </c>
      <c r="E236" s="59">
        <v>85000</v>
      </c>
      <c r="F236" s="249">
        <f t="shared" si="10"/>
        <v>170000</v>
      </c>
    </row>
    <row r="237" spans="1:6" x14ac:dyDescent="0.25">
      <c r="A237" s="218">
        <f t="shared" si="11"/>
        <v>20</v>
      </c>
      <c r="B237" s="18" t="s">
        <v>48</v>
      </c>
      <c r="C237" s="20"/>
      <c r="D237" s="20"/>
      <c r="E237" s="243"/>
      <c r="F237" s="249">
        <f t="shared" si="10"/>
        <v>0</v>
      </c>
    </row>
    <row r="238" spans="1:6" ht="29.25" x14ac:dyDescent="0.25">
      <c r="A238" s="218">
        <f t="shared" si="11"/>
        <v>21</v>
      </c>
      <c r="B238" s="17" t="s">
        <v>86</v>
      </c>
      <c r="C238" s="218" t="s">
        <v>64</v>
      </c>
      <c r="D238" s="31">
        <v>0.5</v>
      </c>
      <c r="E238" s="58">
        <v>607296</v>
      </c>
      <c r="F238" s="249">
        <f t="shared" si="10"/>
        <v>303648</v>
      </c>
    </row>
    <row r="239" spans="1:6" x14ac:dyDescent="0.25">
      <c r="A239" s="218">
        <f t="shared" si="11"/>
        <v>22</v>
      </c>
      <c r="B239" s="55" t="s">
        <v>87</v>
      </c>
      <c r="C239" s="218" t="s">
        <v>64</v>
      </c>
      <c r="D239" s="31">
        <v>1</v>
      </c>
      <c r="E239" s="58">
        <v>824735</v>
      </c>
      <c r="F239" s="249">
        <f t="shared" si="10"/>
        <v>824735</v>
      </c>
    </row>
    <row r="240" spans="1:6" x14ac:dyDescent="0.25">
      <c r="A240" s="218">
        <f t="shared" si="11"/>
        <v>23</v>
      </c>
      <c r="B240" s="18" t="s">
        <v>51</v>
      </c>
      <c r="C240" s="20"/>
      <c r="D240" s="20"/>
      <c r="E240" s="58"/>
      <c r="F240" s="249">
        <f t="shared" si="10"/>
        <v>0</v>
      </c>
    </row>
    <row r="241" spans="1:6" ht="29.25" x14ac:dyDescent="0.25">
      <c r="A241" s="218">
        <f t="shared" si="11"/>
        <v>24</v>
      </c>
      <c r="B241" s="17" t="s">
        <v>88</v>
      </c>
      <c r="C241" s="218" t="s">
        <v>53</v>
      </c>
      <c r="D241" s="31">
        <v>18</v>
      </c>
      <c r="E241" s="58">
        <v>5922</v>
      </c>
      <c r="F241" s="249">
        <f t="shared" si="10"/>
        <v>106596</v>
      </c>
    </row>
    <row r="242" spans="1:6" x14ac:dyDescent="0.25">
      <c r="A242" s="218"/>
      <c r="B242" s="18" t="s">
        <v>56</v>
      </c>
      <c r="C242" s="54"/>
      <c r="D242" s="130"/>
      <c r="E242" s="251"/>
      <c r="F242" s="28">
        <f>ROUND(F241+F240+F239+F238+F237+F236+F235+F234+F233+F232+F231+F230+F229+F228+F227+F226+F225+F224+F223+F222+F221+F220+F219,0)</f>
        <v>10144727</v>
      </c>
    </row>
    <row r="243" spans="1:6" x14ac:dyDescent="0.25">
      <c r="A243" s="218"/>
      <c r="B243" s="19" t="s">
        <v>60</v>
      </c>
      <c r="C243" s="19"/>
      <c r="D243" s="19"/>
      <c r="E243" s="19"/>
      <c r="F243" s="29">
        <f>ROUND(F242/1.3495,0)</f>
        <v>7517397</v>
      </c>
    </row>
    <row r="244" spans="1:6" x14ac:dyDescent="0.25">
      <c r="A244" s="218"/>
      <c r="B244" s="19" t="s">
        <v>61</v>
      </c>
      <c r="C244" s="131">
        <v>0.24</v>
      </c>
      <c r="D244" s="19"/>
      <c r="E244" s="19"/>
      <c r="F244" s="29">
        <f>ROUND(F243*C244,0)</f>
        <v>1804175</v>
      </c>
    </row>
    <row r="245" spans="1:6" x14ac:dyDescent="0.25">
      <c r="A245" s="218"/>
      <c r="B245" s="19" t="s">
        <v>57</v>
      </c>
      <c r="C245" s="131">
        <v>0.05</v>
      </c>
      <c r="D245" s="19"/>
      <c r="E245" s="19"/>
      <c r="F245" s="29">
        <f>ROUND(F243*C245,0)</f>
        <v>375870</v>
      </c>
    </row>
    <row r="246" spans="1:6" x14ac:dyDescent="0.25">
      <c r="A246" s="218"/>
      <c r="B246" s="19" t="s">
        <v>62</v>
      </c>
      <c r="C246" s="131">
        <v>0.05</v>
      </c>
      <c r="D246" s="19"/>
      <c r="E246" s="19"/>
      <c r="F246" s="29">
        <f>ROUND(F243*C246,0)</f>
        <v>375870</v>
      </c>
    </row>
    <row r="247" spans="1:6" x14ac:dyDescent="0.25">
      <c r="A247" s="218"/>
      <c r="B247" s="19" t="s">
        <v>63</v>
      </c>
      <c r="C247" s="131">
        <v>0.19</v>
      </c>
      <c r="D247" s="19"/>
      <c r="E247" s="19"/>
      <c r="F247" s="29">
        <f>ROUND(F246*19%,0)</f>
        <v>71415</v>
      </c>
    </row>
    <row r="248" spans="1:6" x14ac:dyDescent="0.25">
      <c r="A248" s="19"/>
      <c r="B248" s="18" t="s">
        <v>56</v>
      </c>
      <c r="C248" s="19"/>
      <c r="D248" s="19"/>
      <c r="E248" s="19"/>
      <c r="F248" s="30">
        <f>SUM(F243:F247)</f>
        <v>10144727</v>
      </c>
    </row>
    <row r="250" spans="1:6" x14ac:dyDescent="0.25">
      <c r="A250" s="422" t="s">
        <v>89</v>
      </c>
      <c r="B250" s="422"/>
      <c r="C250" s="422"/>
      <c r="D250" s="422"/>
      <c r="E250" s="422"/>
      <c r="F250" s="422"/>
    </row>
    <row r="251" spans="1:6" x14ac:dyDescent="0.25">
      <c r="A251" s="420" t="s">
        <v>10</v>
      </c>
      <c r="B251" s="420" t="s">
        <v>0</v>
      </c>
      <c r="C251" s="420" t="s">
        <v>11</v>
      </c>
      <c r="D251" s="420" t="s">
        <v>12</v>
      </c>
      <c r="E251" s="420"/>
      <c r="F251" s="420"/>
    </row>
    <row r="252" spans="1:6" x14ac:dyDescent="0.25">
      <c r="A252" s="420"/>
      <c r="B252" s="420"/>
      <c r="C252" s="420"/>
      <c r="D252" s="54" t="s">
        <v>13</v>
      </c>
      <c r="E252" s="54" t="s">
        <v>14</v>
      </c>
      <c r="F252" s="54" t="s">
        <v>15</v>
      </c>
    </row>
    <row r="253" spans="1:6" x14ac:dyDescent="0.25">
      <c r="A253" s="218">
        <v>1</v>
      </c>
      <c r="B253" s="18" t="s">
        <v>16</v>
      </c>
      <c r="C253" s="420"/>
      <c r="D253" s="420"/>
      <c r="E253" s="420"/>
      <c r="F253" s="20"/>
    </row>
    <row r="254" spans="1:6" ht="29.25" x14ac:dyDescent="0.25">
      <c r="A254" s="218">
        <f>A253+1</f>
        <v>2</v>
      </c>
      <c r="B254" s="17" t="s">
        <v>77</v>
      </c>
      <c r="C254" s="218" t="s">
        <v>18</v>
      </c>
      <c r="D254" s="31">
        <v>162</v>
      </c>
      <c r="E254" s="58">
        <v>5230</v>
      </c>
      <c r="F254" s="249">
        <f t="shared" ref="F254:F277" si="12">ROUND(D254*E254,0)</f>
        <v>847260</v>
      </c>
    </row>
    <row r="255" spans="1:6" ht="29.25" x14ac:dyDescent="0.25">
      <c r="A255" s="218">
        <f t="shared" ref="A255:A277" si="13">A254+1</f>
        <v>3</v>
      </c>
      <c r="B255" s="17" t="s">
        <v>22</v>
      </c>
      <c r="C255" s="218" t="s">
        <v>23</v>
      </c>
      <c r="D255" s="31">
        <v>3</v>
      </c>
      <c r="E255" s="58">
        <v>155814</v>
      </c>
      <c r="F255" s="249">
        <f t="shared" si="12"/>
        <v>467442</v>
      </c>
    </row>
    <row r="256" spans="1:6" x14ac:dyDescent="0.25">
      <c r="A256" s="218">
        <f t="shared" si="13"/>
        <v>4</v>
      </c>
      <c r="B256" s="18" t="s">
        <v>25</v>
      </c>
      <c r="C256" s="20"/>
      <c r="D256" s="20"/>
      <c r="E256" s="58"/>
      <c r="F256" s="249">
        <f t="shared" si="12"/>
        <v>0</v>
      </c>
    </row>
    <row r="257" spans="1:6" x14ac:dyDescent="0.25">
      <c r="A257" s="218">
        <f t="shared" si="13"/>
        <v>5</v>
      </c>
      <c r="B257" s="56" t="s">
        <v>26</v>
      </c>
      <c r="C257" s="218" t="s">
        <v>18</v>
      </c>
      <c r="D257" s="31">
        <v>10</v>
      </c>
      <c r="E257" s="58">
        <v>7652</v>
      </c>
      <c r="F257" s="249">
        <f t="shared" si="12"/>
        <v>76520</v>
      </c>
    </row>
    <row r="258" spans="1:6" ht="57.75" x14ac:dyDescent="0.25">
      <c r="A258" s="218">
        <f>A257+1</f>
        <v>6</v>
      </c>
      <c r="B258" s="17" t="s">
        <v>78</v>
      </c>
      <c r="C258" s="218" t="s">
        <v>64</v>
      </c>
      <c r="D258" s="31">
        <v>2</v>
      </c>
      <c r="E258" s="58">
        <v>83560</v>
      </c>
      <c r="F258" s="249">
        <f t="shared" si="12"/>
        <v>167120</v>
      </c>
    </row>
    <row r="259" spans="1:6" x14ac:dyDescent="0.25">
      <c r="A259" s="218">
        <f t="shared" si="13"/>
        <v>7</v>
      </c>
      <c r="B259" s="18" t="s">
        <v>28</v>
      </c>
      <c r="C259" s="20"/>
      <c r="D259" s="20"/>
      <c r="E259" s="243"/>
      <c r="F259" s="249">
        <f t="shared" si="12"/>
        <v>0</v>
      </c>
    </row>
    <row r="260" spans="1:6" ht="29.25" x14ac:dyDescent="0.25">
      <c r="A260" s="218">
        <f t="shared" si="13"/>
        <v>8</v>
      </c>
      <c r="B260" s="17" t="s">
        <v>79</v>
      </c>
      <c r="C260" s="218" t="s">
        <v>64</v>
      </c>
      <c r="D260" s="31">
        <v>132</v>
      </c>
      <c r="E260" s="58">
        <v>26395</v>
      </c>
      <c r="F260" s="249">
        <f t="shared" si="12"/>
        <v>3484140</v>
      </c>
    </row>
    <row r="261" spans="1:6" ht="29.25" x14ac:dyDescent="0.25">
      <c r="A261" s="218">
        <f t="shared" si="13"/>
        <v>9</v>
      </c>
      <c r="B261" s="17" t="s">
        <v>32</v>
      </c>
      <c r="C261" s="218" t="s">
        <v>64</v>
      </c>
      <c r="D261" s="31">
        <v>72</v>
      </c>
      <c r="E261" s="58">
        <v>32848</v>
      </c>
      <c r="F261" s="249">
        <f t="shared" si="12"/>
        <v>2365056</v>
      </c>
    </row>
    <row r="262" spans="1:6" ht="30" x14ac:dyDescent="0.25">
      <c r="A262" s="218">
        <f t="shared" si="13"/>
        <v>10</v>
      </c>
      <c r="B262" s="188" t="s">
        <v>80</v>
      </c>
      <c r="C262" s="20"/>
      <c r="D262" s="20"/>
      <c r="E262" s="243"/>
      <c r="F262" s="249">
        <f t="shared" si="12"/>
        <v>0</v>
      </c>
    </row>
    <row r="263" spans="1:6" ht="29.25" x14ac:dyDescent="0.25">
      <c r="A263" s="218">
        <f t="shared" si="13"/>
        <v>11</v>
      </c>
      <c r="B263" s="17" t="s">
        <v>90</v>
      </c>
      <c r="C263" s="218" t="s">
        <v>18</v>
      </c>
      <c r="D263" s="31">
        <v>78</v>
      </c>
      <c r="E263" s="58">
        <f>1981*4</f>
        <v>7924</v>
      </c>
      <c r="F263" s="249">
        <f t="shared" si="12"/>
        <v>618072</v>
      </c>
    </row>
    <row r="264" spans="1:6" ht="29.25" x14ac:dyDescent="0.25">
      <c r="A264" s="218">
        <f t="shared" si="13"/>
        <v>12</v>
      </c>
      <c r="B264" s="17" t="s">
        <v>81</v>
      </c>
      <c r="C264" s="218" t="s">
        <v>18</v>
      </c>
      <c r="D264" s="31">
        <v>84</v>
      </c>
      <c r="E264" s="58">
        <f>1981*6</f>
        <v>11886</v>
      </c>
      <c r="F264" s="249">
        <f t="shared" si="12"/>
        <v>998424</v>
      </c>
    </row>
    <row r="265" spans="1:6" ht="43.5" x14ac:dyDescent="0.25">
      <c r="A265" s="218">
        <f t="shared" si="13"/>
        <v>13</v>
      </c>
      <c r="B265" s="17" t="s">
        <v>82</v>
      </c>
      <c r="C265" s="218" t="s">
        <v>37</v>
      </c>
      <c r="D265" s="31">
        <v>28</v>
      </c>
      <c r="E265" s="58">
        <v>42039</v>
      </c>
      <c r="F265" s="249">
        <f t="shared" si="12"/>
        <v>1177092</v>
      </c>
    </row>
    <row r="266" spans="1:6" x14ac:dyDescent="0.25">
      <c r="A266" s="218">
        <f t="shared" si="13"/>
        <v>14</v>
      </c>
      <c r="B266" s="57" t="s">
        <v>292</v>
      </c>
      <c r="C266" s="218" t="s">
        <v>37</v>
      </c>
      <c r="D266" s="31">
        <v>2</v>
      </c>
      <c r="E266" s="58">
        <v>210191</v>
      </c>
      <c r="F266" s="249">
        <f t="shared" si="12"/>
        <v>420382</v>
      </c>
    </row>
    <row r="267" spans="1:6" ht="57.75" x14ac:dyDescent="0.25">
      <c r="A267" s="218">
        <f t="shared" si="13"/>
        <v>15</v>
      </c>
      <c r="B267" s="17" t="s">
        <v>84</v>
      </c>
      <c r="C267" s="218" t="s">
        <v>37</v>
      </c>
      <c r="D267" s="31">
        <v>2</v>
      </c>
      <c r="E267" s="58">
        <v>345600</v>
      </c>
      <c r="F267" s="249">
        <f t="shared" si="12"/>
        <v>691200</v>
      </c>
    </row>
    <row r="268" spans="1:6" x14ac:dyDescent="0.25">
      <c r="A268" s="218">
        <f t="shared" si="13"/>
        <v>16</v>
      </c>
      <c r="B268" s="55" t="s">
        <v>85</v>
      </c>
      <c r="C268" s="218" t="s">
        <v>23</v>
      </c>
      <c r="D268" s="31">
        <v>4</v>
      </c>
      <c r="E268" s="58">
        <v>90583</v>
      </c>
      <c r="F268" s="249">
        <f t="shared" si="12"/>
        <v>362332</v>
      </c>
    </row>
    <row r="269" spans="1:6" x14ac:dyDescent="0.25">
      <c r="A269" s="218">
        <f t="shared" si="13"/>
        <v>17</v>
      </c>
      <c r="B269" s="18" t="s">
        <v>43</v>
      </c>
      <c r="C269" s="20"/>
      <c r="D269" s="20"/>
      <c r="E269" s="58"/>
      <c r="F269" s="249">
        <f t="shared" si="12"/>
        <v>0</v>
      </c>
    </row>
    <row r="270" spans="1:6" x14ac:dyDescent="0.25">
      <c r="A270" s="218">
        <f t="shared" si="13"/>
        <v>18</v>
      </c>
      <c r="B270" s="55" t="s">
        <v>44</v>
      </c>
      <c r="C270" s="218" t="s">
        <v>64</v>
      </c>
      <c r="D270" s="31">
        <v>18</v>
      </c>
      <c r="E270" s="58">
        <v>121019</v>
      </c>
      <c r="F270" s="249">
        <f t="shared" si="12"/>
        <v>2178342</v>
      </c>
    </row>
    <row r="271" spans="1:6" ht="29.25" x14ac:dyDescent="0.25">
      <c r="A271" s="218">
        <f t="shared" si="13"/>
        <v>19</v>
      </c>
      <c r="B271" s="17" t="s">
        <v>45</v>
      </c>
      <c r="C271" s="218" t="s">
        <v>64</v>
      </c>
      <c r="D271" s="31">
        <v>70</v>
      </c>
      <c r="E271" s="58">
        <v>22197</v>
      </c>
      <c r="F271" s="249">
        <f t="shared" si="12"/>
        <v>1553790</v>
      </c>
    </row>
    <row r="272" spans="1:6" x14ac:dyDescent="0.25">
      <c r="A272" s="218">
        <f t="shared" si="13"/>
        <v>20</v>
      </c>
      <c r="B272" s="55" t="s">
        <v>47</v>
      </c>
      <c r="C272" s="218" t="s">
        <v>64</v>
      </c>
      <c r="D272" s="31">
        <v>2</v>
      </c>
      <c r="E272" s="59">
        <v>85000</v>
      </c>
      <c r="F272" s="249">
        <f t="shared" si="12"/>
        <v>170000</v>
      </c>
    </row>
    <row r="273" spans="1:6" x14ac:dyDescent="0.25">
      <c r="A273" s="218">
        <f t="shared" si="13"/>
        <v>21</v>
      </c>
      <c r="B273" s="18" t="s">
        <v>48</v>
      </c>
      <c r="C273" s="20"/>
      <c r="D273" s="20"/>
      <c r="E273" s="58"/>
      <c r="F273" s="249">
        <f t="shared" si="12"/>
        <v>0</v>
      </c>
    </row>
    <row r="274" spans="1:6" ht="29.25" x14ac:dyDescent="0.25">
      <c r="A274" s="218">
        <f t="shared" si="13"/>
        <v>22</v>
      </c>
      <c r="B274" s="17" t="s">
        <v>86</v>
      </c>
      <c r="C274" s="218" t="s">
        <v>64</v>
      </c>
      <c r="D274" s="31">
        <v>0.5</v>
      </c>
      <c r="E274" s="58">
        <v>607296</v>
      </c>
      <c r="F274" s="249">
        <f t="shared" si="12"/>
        <v>303648</v>
      </c>
    </row>
    <row r="275" spans="1:6" x14ac:dyDescent="0.25">
      <c r="A275" s="218">
        <f t="shared" si="13"/>
        <v>23</v>
      </c>
      <c r="B275" s="55" t="s">
        <v>87</v>
      </c>
      <c r="C275" s="218" t="s">
        <v>64</v>
      </c>
      <c r="D275" s="31">
        <v>2</v>
      </c>
      <c r="E275" s="58">
        <v>824735</v>
      </c>
      <c r="F275" s="249">
        <f t="shared" si="12"/>
        <v>1649470</v>
      </c>
    </row>
    <row r="276" spans="1:6" x14ac:dyDescent="0.25">
      <c r="A276" s="218">
        <f t="shared" si="13"/>
        <v>24</v>
      </c>
      <c r="B276" s="18" t="s">
        <v>51</v>
      </c>
      <c r="C276" s="20"/>
      <c r="D276" s="20"/>
      <c r="E276" s="58"/>
      <c r="F276" s="249">
        <f t="shared" si="12"/>
        <v>0</v>
      </c>
    </row>
    <row r="277" spans="1:6" ht="29.25" x14ac:dyDescent="0.25">
      <c r="A277" s="218">
        <f t="shared" si="13"/>
        <v>25</v>
      </c>
      <c r="B277" s="17" t="s">
        <v>88</v>
      </c>
      <c r="C277" s="218" t="s">
        <v>53</v>
      </c>
      <c r="D277" s="31">
        <v>18</v>
      </c>
      <c r="E277" s="58">
        <v>5922</v>
      </c>
      <c r="F277" s="249">
        <f t="shared" si="12"/>
        <v>106596</v>
      </c>
    </row>
    <row r="278" spans="1:6" x14ac:dyDescent="0.25">
      <c r="A278" s="216"/>
      <c r="B278" s="18" t="s">
        <v>56</v>
      </c>
      <c r="C278" s="54"/>
      <c r="D278" s="130"/>
      <c r="E278" s="251"/>
      <c r="F278" s="28">
        <f>ROUND(F277+F276+F275+F274+F273+F272+F271+F270+F269+F268+F267+F266+F265+F264+F263+F262+F261+F260+F259+F258+F257+F256+F255+F254,0)</f>
        <v>17636886</v>
      </c>
    </row>
    <row r="279" spans="1:6" x14ac:dyDescent="0.25">
      <c r="A279" s="19"/>
      <c r="B279" s="19" t="s">
        <v>60</v>
      </c>
      <c r="C279" s="19"/>
      <c r="D279" s="19"/>
      <c r="E279" s="19"/>
      <c r="F279" s="29">
        <f>ROUND(F278/1.3495,0)</f>
        <v>13069200</v>
      </c>
    </row>
    <row r="280" spans="1:6" x14ac:dyDescent="0.25">
      <c r="A280" s="19"/>
      <c r="B280" s="19" t="s">
        <v>61</v>
      </c>
      <c r="C280" s="131">
        <v>0.24</v>
      </c>
      <c r="D280" s="19"/>
      <c r="E280" s="19"/>
      <c r="F280" s="29">
        <f>ROUND(F279*C280,0)</f>
        <v>3136608</v>
      </c>
    </row>
    <row r="281" spans="1:6" x14ac:dyDescent="0.25">
      <c r="A281" s="19"/>
      <c r="B281" s="19" t="s">
        <v>57</v>
      </c>
      <c r="C281" s="131">
        <v>0.05</v>
      </c>
      <c r="D281" s="19"/>
      <c r="E281" s="19"/>
      <c r="F281" s="29">
        <f>ROUND(F279*C281,0)</f>
        <v>653460</v>
      </c>
    </row>
    <row r="282" spans="1:6" x14ac:dyDescent="0.25">
      <c r="A282" s="19"/>
      <c r="B282" s="19" t="s">
        <v>62</v>
      </c>
      <c r="C282" s="131">
        <v>0.05</v>
      </c>
      <c r="D282" s="19"/>
      <c r="E282" s="19"/>
      <c r="F282" s="29">
        <f>ROUND(F279*C282,0)</f>
        <v>653460</v>
      </c>
    </row>
    <row r="283" spans="1:6" x14ac:dyDescent="0.25">
      <c r="A283" s="19"/>
      <c r="B283" s="19" t="s">
        <v>63</v>
      </c>
      <c r="C283" s="131">
        <v>0.19</v>
      </c>
      <c r="D283" s="19"/>
      <c r="E283" s="19"/>
      <c r="F283" s="29">
        <f>ROUND(F282*19%,0)</f>
        <v>124157</v>
      </c>
    </row>
    <row r="284" spans="1:6" x14ac:dyDescent="0.25">
      <c r="A284" s="19"/>
      <c r="B284" s="18" t="s">
        <v>56</v>
      </c>
      <c r="C284" s="19"/>
      <c r="D284" s="19"/>
      <c r="E284" s="19"/>
      <c r="F284" s="30">
        <f>SUM(F279:F283)</f>
        <v>17636885</v>
      </c>
    </row>
    <row r="286" spans="1:6" x14ac:dyDescent="0.25">
      <c r="A286" s="422"/>
      <c r="B286" s="422"/>
      <c r="C286" s="422"/>
      <c r="D286" s="422"/>
      <c r="E286" s="422"/>
      <c r="F286" s="422"/>
    </row>
    <row r="287" spans="1:6" x14ac:dyDescent="0.25">
      <c r="A287" s="422" t="s">
        <v>837</v>
      </c>
      <c r="B287" s="422"/>
      <c r="C287" s="422"/>
      <c r="D287" s="422"/>
      <c r="E287" s="422"/>
      <c r="F287" s="422"/>
    </row>
    <row r="288" spans="1:6" x14ac:dyDescent="0.25">
      <c r="A288" s="420" t="s">
        <v>10</v>
      </c>
      <c r="B288" s="420" t="s">
        <v>0</v>
      </c>
      <c r="C288" s="420" t="s">
        <v>11</v>
      </c>
      <c r="D288" s="420" t="s">
        <v>12</v>
      </c>
      <c r="E288" s="420"/>
      <c r="F288" s="420"/>
    </row>
    <row r="289" spans="1:6" x14ac:dyDescent="0.25">
      <c r="A289" s="420"/>
      <c r="B289" s="420"/>
      <c r="C289" s="420"/>
      <c r="D289" s="54" t="s">
        <v>13</v>
      </c>
      <c r="E289" s="54" t="s">
        <v>14</v>
      </c>
      <c r="F289" s="54" t="s">
        <v>15</v>
      </c>
    </row>
    <row r="290" spans="1:6" x14ac:dyDescent="0.25">
      <c r="A290" s="218">
        <f t="shared" ref="A290:A316" si="14">A289+1</f>
        <v>1</v>
      </c>
      <c r="B290" s="18" t="s">
        <v>16</v>
      </c>
      <c r="C290" s="420"/>
      <c r="D290" s="420"/>
      <c r="E290" s="420"/>
      <c r="F290" s="20"/>
    </row>
    <row r="291" spans="1:6" ht="29.25" x14ac:dyDescent="0.25">
      <c r="A291" s="218">
        <f t="shared" si="14"/>
        <v>2</v>
      </c>
      <c r="B291" s="17" t="s">
        <v>77</v>
      </c>
      <c r="C291" s="119" t="s">
        <v>18</v>
      </c>
      <c r="D291" s="151">
        <v>84</v>
      </c>
      <c r="E291" s="243">
        <v>5230</v>
      </c>
      <c r="F291" s="249">
        <f t="shared" ref="F291:F314" si="15">ROUND(D291*E291,0)</f>
        <v>439320</v>
      </c>
    </row>
    <row r="292" spans="1:6" ht="29.25" x14ac:dyDescent="0.25">
      <c r="A292" s="218">
        <f>A291+1</f>
        <v>3</v>
      </c>
      <c r="B292" s="17" t="s">
        <v>22</v>
      </c>
      <c r="C292" s="119" t="s">
        <v>23</v>
      </c>
      <c r="D292" s="151">
        <v>2</v>
      </c>
      <c r="E292" s="243">
        <v>155814</v>
      </c>
      <c r="F292" s="249">
        <f t="shared" si="15"/>
        <v>311628</v>
      </c>
    </row>
    <row r="293" spans="1:6" ht="29.25" x14ac:dyDescent="0.25">
      <c r="A293" s="218">
        <f t="shared" si="14"/>
        <v>4</v>
      </c>
      <c r="B293" s="17" t="s">
        <v>838</v>
      </c>
      <c r="C293" s="119" t="s">
        <v>23</v>
      </c>
      <c r="D293" s="151">
        <v>1</v>
      </c>
      <c r="E293" s="243">
        <v>788768</v>
      </c>
      <c r="F293" s="249">
        <f t="shared" si="15"/>
        <v>788768</v>
      </c>
    </row>
    <row r="294" spans="1:6" x14ac:dyDescent="0.25">
      <c r="A294" s="218">
        <f t="shared" si="14"/>
        <v>5</v>
      </c>
      <c r="B294" s="188" t="s">
        <v>25</v>
      </c>
      <c r="C294" s="20"/>
      <c r="D294" s="252"/>
      <c r="E294" s="243"/>
      <c r="F294" s="249">
        <f t="shared" si="15"/>
        <v>0</v>
      </c>
    </row>
    <row r="295" spans="1:6" x14ac:dyDescent="0.25">
      <c r="A295" s="218">
        <f t="shared" si="14"/>
        <v>6</v>
      </c>
      <c r="B295" s="56" t="s">
        <v>26</v>
      </c>
      <c r="C295" s="119" t="s">
        <v>18</v>
      </c>
      <c r="D295" s="151">
        <v>360</v>
      </c>
      <c r="E295" s="243">
        <v>7652</v>
      </c>
      <c r="F295" s="249">
        <f t="shared" si="15"/>
        <v>2754720</v>
      </c>
    </row>
    <row r="296" spans="1:6" ht="57.75" x14ac:dyDescent="0.25">
      <c r="A296" s="218">
        <f t="shared" si="14"/>
        <v>7</v>
      </c>
      <c r="B296" s="17" t="s">
        <v>78</v>
      </c>
      <c r="C296" s="119" t="s">
        <v>64</v>
      </c>
      <c r="D296" s="151">
        <v>13</v>
      </c>
      <c r="E296" s="243">
        <v>83560</v>
      </c>
      <c r="F296" s="249">
        <f t="shared" si="15"/>
        <v>1086280</v>
      </c>
    </row>
    <row r="297" spans="1:6" x14ac:dyDescent="0.25">
      <c r="A297" s="218">
        <f t="shared" si="14"/>
        <v>8</v>
      </c>
      <c r="B297" s="188" t="s">
        <v>28</v>
      </c>
      <c r="C297" s="20"/>
      <c r="D297" s="252"/>
      <c r="E297" s="243"/>
      <c r="F297" s="249">
        <f t="shared" si="15"/>
        <v>0</v>
      </c>
    </row>
    <row r="298" spans="1:6" ht="29.25" x14ac:dyDescent="0.25">
      <c r="A298" s="218">
        <f t="shared" si="14"/>
        <v>9</v>
      </c>
      <c r="B298" s="17" t="s">
        <v>79</v>
      </c>
      <c r="C298" s="119" t="s">
        <v>64</v>
      </c>
      <c r="D298" s="151">
        <v>57</v>
      </c>
      <c r="E298" s="243">
        <v>26935</v>
      </c>
      <c r="F298" s="249">
        <f t="shared" si="15"/>
        <v>1535295</v>
      </c>
    </row>
    <row r="299" spans="1:6" ht="29.25" x14ac:dyDescent="0.25">
      <c r="A299" s="218">
        <f t="shared" si="14"/>
        <v>10</v>
      </c>
      <c r="B299" s="17" t="s">
        <v>32</v>
      </c>
      <c r="C299" s="119" t="s">
        <v>64</v>
      </c>
      <c r="D299" s="151">
        <v>38.840000000000003</v>
      </c>
      <c r="E299" s="243">
        <v>32848</v>
      </c>
      <c r="F299" s="249">
        <f t="shared" si="15"/>
        <v>1275816</v>
      </c>
    </row>
    <row r="300" spans="1:6" ht="30" x14ac:dyDescent="0.25">
      <c r="A300" s="218">
        <f t="shared" si="14"/>
        <v>11</v>
      </c>
      <c r="B300" s="188" t="s">
        <v>80</v>
      </c>
      <c r="C300" s="20"/>
      <c r="D300" s="252"/>
      <c r="E300" s="243"/>
      <c r="F300" s="249">
        <f t="shared" si="15"/>
        <v>0</v>
      </c>
    </row>
    <row r="301" spans="1:6" ht="29.25" x14ac:dyDescent="0.25">
      <c r="A301" s="218">
        <f t="shared" si="14"/>
        <v>12</v>
      </c>
      <c r="B301" s="17" t="s">
        <v>92</v>
      </c>
      <c r="C301" s="119" t="s">
        <v>18</v>
      </c>
      <c r="D301" s="151">
        <v>84</v>
      </c>
      <c r="E301" s="243">
        <v>3962</v>
      </c>
      <c r="F301" s="249">
        <f t="shared" si="15"/>
        <v>332808</v>
      </c>
    </row>
    <row r="302" spans="1:6" ht="43.5" x14ac:dyDescent="0.25">
      <c r="A302" s="218">
        <f t="shared" si="14"/>
        <v>13</v>
      </c>
      <c r="B302" s="17" t="s">
        <v>82</v>
      </c>
      <c r="C302" s="119" t="s">
        <v>37</v>
      </c>
      <c r="D302" s="151">
        <v>24</v>
      </c>
      <c r="E302" s="243">
        <v>42039</v>
      </c>
      <c r="F302" s="249">
        <f t="shared" si="15"/>
        <v>1008936</v>
      </c>
    </row>
    <row r="303" spans="1:6" x14ac:dyDescent="0.25">
      <c r="A303" s="218">
        <f t="shared" si="14"/>
        <v>14</v>
      </c>
      <c r="B303" s="57" t="s">
        <v>83</v>
      </c>
      <c r="C303" s="119" t="s">
        <v>37</v>
      </c>
      <c r="D303" s="151">
        <v>1</v>
      </c>
      <c r="E303" s="243">
        <v>210191</v>
      </c>
      <c r="F303" s="249">
        <f t="shared" si="15"/>
        <v>210191</v>
      </c>
    </row>
    <row r="304" spans="1:6" ht="57.75" x14ac:dyDescent="0.25">
      <c r="A304" s="218">
        <f t="shared" si="14"/>
        <v>15</v>
      </c>
      <c r="B304" s="17" t="s">
        <v>159</v>
      </c>
      <c r="C304" s="119" t="s">
        <v>37</v>
      </c>
      <c r="D304" s="151">
        <v>1</v>
      </c>
      <c r="E304" s="243">
        <v>345600</v>
      </c>
      <c r="F304" s="249">
        <f t="shared" si="15"/>
        <v>345600</v>
      </c>
    </row>
    <row r="305" spans="1:6" ht="28.5" x14ac:dyDescent="0.25">
      <c r="A305" s="218">
        <f t="shared" si="14"/>
        <v>16</v>
      </c>
      <c r="B305" s="9" t="s">
        <v>85</v>
      </c>
      <c r="C305" s="119" t="s">
        <v>23</v>
      </c>
      <c r="D305" s="151">
        <v>4</v>
      </c>
      <c r="E305" s="243">
        <v>90583</v>
      </c>
      <c r="F305" s="249">
        <f t="shared" si="15"/>
        <v>362332</v>
      </c>
    </row>
    <row r="306" spans="1:6" x14ac:dyDescent="0.25">
      <c r="A306" s="218">
        <f t="shared" si="14"/>
        <v>17</v>
      </c>
      <c r="B306" s="188" t="s">
        <v>43</v>
      </c>
      <c r="C306" s="20"/>
      <c r="D306" s="252"/>
      <c r="E306" s="243"/>
      <c r="F306" s="249">
        <f t="shared" si="15"/>
        <v>0</v>
      </c>
    </row>
    <row r="307" spans="1:6" x14ac:dyDescent="0.25">
      <c r="A307" s="218">
        <f t="shared" si="14"/>
        <v>18</v>
      </c>
      <c r="B307" s="17" t="s">
        <v>44</v>
      </c>
      <c r="C307" s="119" t="s">
        <v>64</v>
      </c>
      <c r="D307" s="151">
        <v>8</v>
      </c>
      <c r="E307" s="243">
        <v>121019</v>
      </c>
      <c r="F307" s="249">
        <f t="shared" si="15"/>
        <v>968152</v>
      </c>
    </row>
    <row r="308" spans="1:6" ht="29.25" x14ac:dyDescent="0.25">
      <c r="A308" s="218">
        <f t="shared" si="14"/>
        <v>19</v>
      </c>
      <c r="B308" s="17" t="s">
        <v>45</v>
      </c>
      <c r="C308" s="119" t="s">
        <v>64</v>
      </c>
      <c r="D308" s="151">
        <v>31</v>
      </c>
      <c r="E308" s="243">
        <v>22197</v>
      </c>
      <c r="F308" s="249">
        <f t="shared" si="15"/>
        <v>688107</v>
      </c>
    </row>
    <row r="309" spans="1:6" x14ac:dyDescent="0.25">
      <c r="A309" s="218">
        <f t="shared" si="14"/>
        <v>20</v>
      </c>
      <c r="B309" s="17" t="s">
        <v>273</v>
      </c>
      <c r="C309" s="119" t="s">
        <v>64</v>
      </c>
      <c r="D309" s="151">
        <v>17</v>
      </c>
      <c r="E309" s="243">
        <v>145281</v>
      </c>
      <c r="F309" s="249">
        <f t="shared" si="15"/>
        <v>2469777</v>
      </c>
    </row>
    <row r="310" spans="1:6" x14ac:dyDescent="0.25">
      <c r="A310" s="218">
        <f t="shared" si="14"/>
        <v>21</v>
      </c>
      <c r="B310" s="188" t="s">
        <v>48</v>
      </c>
      <c r="C310" s="20"/>
      <c r="D310" s="252"/>
      <c r="E310" s="243"/>
      <c r="F310" s="249">
        <f t="shared" si="15"/>
        <v>0</v>
      </c>
    </row>
    <row r="311" spans="1:6" ht="29.25" x14ac:dyDescent="0.25">
      <c r="A311" s="218">
        <f t="shared" si="14"/>
        <v>22</v>
      </c>
      <c r="B311" s="17" t="s">
        <v>86</v>
      </c>
      <c r="C311" s="119" t="s">
        <v>64</v>
      </c>
      <c r="D311" s="151">
        <v>2</v>
      </c>
      <c r="E311" s="243">
        <v>607296</v>
      </c>
      <c r="F311" s="249">
        <f t="shared" si="15"/>
        <v>1214592</v>
      </c>
    </row>
    <row r="312" spans="1:6" x14ac:dyDescent="0.25">
      <c r="A312" s="218">
        <f t="shared" si="14"/>
        <v>23</v>
      </c>
      <c r="B312" s="17" t="s">
        <v>87</v>
      </c>
      <c r="C312" s="119" t="s">
        <v>64</v>
      </c>
      <c r="D312" s="151">
        <v>13</v>
      </c>
      <c r="E312" s="243">
        <v>824735</v>
      </c>
      <c r="F312" s="249">
        <f t="shared" si="15"/>
        <v>10721555</v>
      </c>
    </row>
    <row r="313" spans="1:6" x14ac:dyDescent="0.25">
      <c r="A313" s="218">
        <f t="shared" si="14"/>
        <v>24</v>
      </c>
      <c r="B313" s="188" t="s">
        <v>51</v>
      </c>
      <c r="C313" s="20"/>
      <c r="D313" s="252"/>
      <c r="E313" s="243"/>
      <c r="F313" s="249">
        <f t="shared" si="15"/>
        <v>0</v>
      </c>
    </row>
    <row r="314" spans="1:6" ht="29.25" x14ac:dyDescent="0.25">
      <c r="A314" s="218">
        <f t="shared" si="14"/>
        <v>25</v>
      </c>
      <c r="B314" s="17" t="s">
        <v>88</v>
      </c>
      <c r="C314" s="119" t="s">
        <v>53</v>
      </c>
      <c r="D314" s="151">
        <v>36</v>
      </c>
      <c r="E314" s="243">
        <v>5922</v>
      </c>
      <c r="F314" s="249">
        <f t="shared" si="15"/>
        <v>213192</v>
      </c>
    </row>
    <row r="315" spans="1:6" ht="72" x14ac:dyDescent="0.25">
      <c r="A315" s="218">
        <f>A314+1</f>
        <v>26</v>
      </c>
      <c r="B315" s="17" t="s">
        <v>839</v>
      </c>
      <c r="C315" s="218" t="s">
        <v>55</v>
      </c>
      <c r="D315" s="31">
        <v>4</v>
      </c>
      <c r="E315" s="59">
        <f>1673138</f>
        <v>1673138</v>
      </c>
      <c r="F315" s="58">
        <f t="shared" ref="F315:F316" si="16">D315*E315</f>
        <v>6692552</v>
      </c>
    </row>
    <row r="316" spans="1:6" ht="57.75" x14ac:dyDescent="0.25">
      <c r="A316" s="218">
        <f t="shared" si="14"/>
        <v>27</v>
      </c>
      <c r="B316" s="17" t="s">
        <v>840</v>
      </c>
      <c r="C316" s="218" t="s">
        <v>23</v>
      </c>
      <c r="D316" s="31">
        <v>1</v>
      </c>
      <c r="E316" s="58">
        <v>788768</v>
      </c>
      <c r="F316" s="58">
        <f t="shared" si="16"/>
        <v>788768</v>
      </c>
    </row>
    <row r="317" spans="1:6" x14ac:dyDescent="0.25">
      <c r="A317" s="216"/>
      <c r="B317" s="18" t="s">
        <v>56</v>
      </c>
      <c r="C317" s="54"/>
      <c r="D317" s="130"/>
      <c r="E317" s="251"/>
      <c r="F317" s="28">
        <f>ROUND(F314+F313+F312+F311+F310+F309+F308+F307+F306+F305+F304+F303+F302+F301+F300+F299+F298+F297+F296+F295+F294+F293+F292+F291+F315+F316,0)</f>
        <v>34208389</v>
      </c>
    </row>
    <row r="318" spans="1:6" x14ac:dyDescent="0.25">
      <c r="A318" s="19"/>
      <c r="B318" s="19" t="s">
        <v>60</v>
      </c>
      <c r="C318" s="19"/>
      <c r="D318" s="19"/>
      <c r="E318" s="19"/>
      <c r="F318" s="29">
        <f>ROUND(F317/1.3495,0)</f>
        <v>25348936</v>
      </c>
    </row>
    <row r="319" spans="1:6" x14ac:dyDescent="0.25">
      <c r="A319" s="19"/>
      <c r="B319" s="19" t="s">
        <v>61</v>
      </c>
      <c r="C319" s="131">
        <v>0.24</v>
      </c>
      <c r="D319" s="19"/>
      <c r="E319" s="19"/>
      <c r="F319" s="29">
        <f>ROUND(F318*C319,0)</f>
        <v>6083745</v>
      </c>
    </row>
    <row r="320" spans="1:6" x14ac:dyDescent="0.25">
      <c r="A320" s="19"/>
      <c r="B320" s="19" t="s">
        <v>57</v>
      </c>
      <c r="C320" s="131">
        <v>0.05</v>
      </c>
      <c r="D320" s="19"/>
      <c r="E320" s="19"/>
      <c r="F320" s="29">
        <f>ROUND(F318*C320,0)</f>
        <v>1267447</v>
      </c>
    </row>
    <row r="321" spans="1:6" x14ac:dyDescent="0.25">
      <c r="A321" s="19"/>
      <c r="B321" s="19" t="s">
        <v>62</v>
      </c>
      <c r="C321" s="131">
        <v>0.05</v>
      </c>
      <c r="D321" s="19"/>
      <c r="E321" s="19"/>
      <c r="F321" s="29">
        <f>ROUND(F318*C321,0)</f>
        <v>1267447</v>
      </c>
    </row>
    <row r="322" spans="1:6" x14ac:dyDescent="0.25">
      <c r="A322" s="19"/>
      <c r="B322" s="19" t="s">
        <v>63</v>
      </c>
      <c r="C322" s="131">
        <v>0.19</v>
      </c>
      <c r="D322" s="19"/>
      <c r="E322" s="19"/>
      <c r="F322" s="29">
        <f>ROUND(F321*19%,0)</f>
        <v>240815</v>
      </c>
    </row>
    <row r="323" spans="1:6" x14ac:dyDescent="0.25">
      <c r="A323" s="19"/>
      <c r="B323" s="18" t="s">
        <v>56</v>
      </c>
      <c r="C323" s="19"/>
      <c r="D323" s="19"/>
      <c r="E323" s="19"/>
      <c r="F323" s="30">
        <f>SUM(F318:F322)</f>
        <v>34208390</v>
      </c>
    </row>
    <row r="324" spans="1:6" x14ac:dyDescent="0.25">
      <c r="A324" s="195"/>
      <c r="B324" s="195"/>
      <c r="C324" s="195"/>
      <c r="D324" s="253"/>
      <c r="E324" s="253"/>
      <c r="F324" s="253"/>
    </row>
    <row r="325" spans="1:6" x14ac:dyDescent="0.25">
      <c r="A325" s="346"/>
      <c r="B325" s="346"/>
      <c r="C325" s="346"/>
      <c r="D325" s="347"/>
      <c r="E325" s="347"/>
      <c r="F325" s="347"/>
    </row>
    <row r="326" spans="1:6" ht="39.75" customHeight="1" x14ac:dyDescent="0.25">
      <c r="A326" s="421" t="s">
        <v>969</v>
      </c>
      <c r="B326" s="421"/>
      <c r="C326" s="421"/>
      <c r="D326" s="421"/>
      <c r="E326" s="421"/>
      <c r="F326" s="421"/>
    </row>
    <row r="327" spans="1:6" x14ac:dyDescent="0.25">
      <c r="A327" s="5" t="s">
        <v>897</v>
      </c>
      <c r="B327" s="5" t="s">
        <v>422</v>
      </c>
      <c r="C327" s="5" t="s">
        <v>898</v>
      </c>
      <c r="D327" s="5" t="s">
        <v>899</v>
      </c>
      <c r="E327" s="5" t="s">
        <v>900</v>
      </c>
      <c r="F327" s="5" t="s">
        <v>901</v>
      </c>
    </row>
    <row r="328" spans="1:6" x14ac:dyDescent="0.25">
      <c r="A328" s="349" t="s">
        <v>338</v>
      </c>
      <c r="B328" s="7" t="s">
        <v>16</v>
      </c>
      <c r="C328" s="349"/>
      <c r="D328" s="350"/>
      <c r="E328" s="351"/>
      <c r="F328" s="351"/>
    </row>
    <row r="329" spans="1:6" ht="43.5" x14ac:dyDescent="0.25">
      <c r="A329" s="349" t="s">
        <v>339</v>
      </c>
      <c r="B329" s="4" t="s">
        <v>458</v>
      </c>
      <c r="C329" s="349" t="s">
        <v>341</v>
      </c>
      <c r="D329" s="350">
        <v>90</v>
      </c>
      <c r="E329" s="351">
        <v>7056</v>
      </c>
      <c r="F329" s="351">
        <f t="shared" ref="F329:F331" si="17">ROUND(D329*E329,0)</f>
        <v>635040</v>
      </c>
    </row>
    <row r="330" spans="1:6" ht="57.75" x14ac:dyDescent="0.25">
      <c r="A330" s="349" t="s">
        <v>342</v>
      </c>
      <c r="B330" s="4" t="s">
        <v>459</v>
      </c>
      <c r="C330" s="349" t="s">
        <v>341</v>
      </c>
      <c r="D330" s="350">
        <v>400</v>
      </c>
      <c r="E330" s="351">
        <v>11584</v>
      </c>
      <c r="F330" s="351">
        <f t="shared" si="17"/>
        <v>4633600</v>
      </c>
    </row>
    <row r="331" spans="1:6" ht="43.5" x14ac:dyDescent="0.25">
      <c r="A331" s="349" t="s">
        <v>344</v>
      </c>
      <c r="B331" s="6" t="s">
        <v>460</v>
      </c>
      <c r="C331" s="349" t="s">
        <v>125</v>
      </c>
      <c r="D331" s="350">
        <v>3</v>
      </c>
      <c r="E331" s="351">
        <v>227316</v>
      </c>
      <c r="F331" s="351">
        <f t="shared" si="17"/>
        <v>681948</v>
      </c>
    </row>
    <row r="332" spans="1:6" x14ac:dyDescent="0.25">
      <c r="A332" s="349">
        <v>2</v>
      </c>
      <c r="B332" s="7" t="s">
        <v>347</v>
      </c>
      <c r="C332" s="349"/>
      <c r="D332" s="350"/>
      <c r="E332" s="351" t="s">
        <v>1</v>
      </c>
      <c r="F332" s="351"/>
    </row>
    <row r="333" spans="1:6" x14ac:dyDescent="0.25">
      <c r="A333" s="349" t="s">
        <v>348</v>
      </c>
      <c r="B333" s="5" t="s">
        <v>349</v>
      </c>
      <c r="C333" s="349" t="s">
        <v>115</v>
      </c>
      <c r="D333" s="350">
        <v>40</v>
      </c>
      <c r="E333" s="351">
        <v>131969</v>
      </c>
      <c r="F333" s="351">
        <f t="shared" ref="F333:F335" si="18">ROUND(D333*E333,0)</f>
        <v>5278760</v>
      </c>
    </row>
    <row r="334" spans="1:6" ht="43.5" x14ac:dyDescent="0.25">
      <c r="A334" s="349" t="s">
        <v>461</v>
      </c>
      <c r="B334" s="4" t="s">
        <v>462</v>
      </c>
      <c r="C334" s="349" t="s">
        <v>115</v>
      </c>
      <c r="D334" s="350">
        <v>1</v>
      </c>
      <c r="E334" s="351">
        <v>106895</v>
      </c>
      <c r="F334" s="351">
        <f t="shared" si="18"/>
        <v>106895</v>
      </c>
    </row>
    <row r="335" spans="1:6" ht="43.5" x14ac:dyDescent="0.25">
      <c r="A335" s="349">
        <v>2.2999999999999998</v>
      </c>
      <c r="B335" s="4" t="s">
        <v>464</v>
      </c>
      <c r="C335" s="349" t="s">
        <v>115</v>
      </c>
      <c r="D335" s="350">
        <v>7.84</v>
      </c>
      <c r="E335" s="351">
        <v>98688</v>
      </c>
      <c r="F335" s="351">
        <f t="shared" si="18"/>
        <v>773714</v>
      </c>
    </row>
    <row r="336" spans="1:6" x14ac:dyDescent="0.25">
      <c r="A336" s="349">
        <v>3</v>
      </c>
      <c r="B336" s="12" t="s">
        <v>353</v>
      </c>
      <c r="C336" s="349"/>
      <c r="D336" s="350"/>
      <c r="E336" s="352">
        <v>0</v>
      </c>
      <c r="F336" s="351"/>
    </row>
    <row r="337" spans="1:6" ht="29.25" x14ac:dyDescent="0.25">
      <c r="A337" s="349" t="s">
        <v>354</v>
      </c>
      <c r="B337" s="4" t="s">
        <v>355</v>
      </c>
      <c r="C337" s="349" t="s">
        <v>115</v>
      </c>
      <c r="D337" s="353">
        <v>120</v>
      </c>
      <c r="E337" s="351">
        <v>33627</v>
      </c>
      <c r="F337" s="351">
        <f t="shared" ref="F337" si="19">ROUND(D337*E337,0)</f>
        <v>4035240</v>
      </c>
    </row>
    <row r="338" spans="1:6" x14ac:dyDescent="0.25">
      <c r="A338" s="349">
        <v>4</v>
      </c>
      <c r="B338" s="12" t="s">
        <v>356</v>
      </c>
      <c r="C338" s="349"/>
      <c r="D338" s="350"/>
      <c r="E338" s="351">
        <v>0</v>
      </c>
      <c r="F338" s="351"/>
    </row>
    <row r="339" spans="1:6" ht="29.25" x14ac:dyDescent="0.25">
      <c r="A339" s="349" t="s">
        <v>357</v>
      </c>
      <c r="B339" s="4" t="s">
        <v>358</v>
      </c>
      <c r="C339" s="349" t="s">
        <v>115</v>
      </c>
      <c r="D339" s="350">
        <v>160</v>
      </c>
      <c r="E339" s="351">
        <v>28168</v>
      </c>
      <c r="F339" s="351">
        <f t="shared" ref="F339:F340" si="20">ROUND(D339*E339,0)</f>
        <v>4506880</v>
      </c>
    </row>
    <row r="340" spans="1:6" ht="29.25" x14ac:dyDescent="0.25">
      <c r="A340" s="349">
        <v>4.2</v>
      </c>
      <c r="B340" s="4" t="s">
        <v>359</v>
      </c>
      <c r="C340" s="349" t="s">
        <v>115</v>
      </c>
      <c r="D340" s="350">
        <v>20</v>
      </c>
      <c r="E340" s="351">
        <v>33489</v>
      </c>
      <c r="F340" s="351">
        <f t="shared" si="20"/>
        <v>669780</v>
      </c>
    </row>
    <row r="341" spans="1:6" ht="30" x14ac:dyDescent="0.25">
      <c r="A341" s="349">
        <v>5</v>
      </c>
      <c r="B341" s="12" t="s">
        <v>361</v>
      </c>
      <c r="C341" s="349"/>
      <c r="D341" s="350"/>
      <c r="E341" s="351">
        <v>0</v>
      </c>
      <c r="F341" s="351"/>
    </row>
    <row r="342" spans="1:6" ht="43.5" x14ac:dyDescent="0.25">
      <c r="A342" s="349" t="s">
        <v>362</v>
      </c>
      <c r="B342" s="4" t="s">
        <v>363</v>
      </c>
      <c r="C342" s="349" t="s">
        <v>115</v>
      </c>
      <c r="D342" s="350">
        <v>140</v>
      </c>
      <c r="E342" s="351">
        <v>23121</v>
      </c>
      <c r="F342" s="351">
        <f t="shared" ref="F342:F343" si="21">ROUND(D342*E342,0)</f>
        <v>3236940</v>
      </c>
    </row>
    <row r="343" spans="1:6" ht="43.5" x14ac:dyDescent="0.25">
      <c r="A343" s="349" t="s">
        <v>364</v>
      </c>
      <c r="B343" s="4" t="s">
        <v>365</v>
      </c>
      <c r="C343" s="349" t="s">
        <v>115</v>
      </c>
      <c r="D343" s="350">
        <v>4</v>
      </c>
      <c r="E343" s="351">
        <v>99301</v>
      </c>
      <c r="F343" s="351">
        <f t="shared" si="21"/>
        <v>397204</v>
      </c>
    </row>
    <row r="344" spans="1:6" ht="45" x14ac:dyDescent="0.25">
      <c r="A344" s="349">
        <v>6</v>
      </c>
      <c r="B344" s="12" t="s">
        <v>366</v>
      </c>
      <c r="C344" s="349"/>
      <c r="D344" s="350"/>
      <c r="E344" s="351" t="s">
        <v>1</v>
      </c>
      <c r="F344" s="351"/>
    </row>
    <row r="345" spans="1:6" ht="43.5" x14ac:dyDescent="0.25">
      <c r="A345" s="349" t="s">
        <v>367</v>
      </c>
      <c r="B345" s="4" t="s">
        <v>465</v>
      </c>
      <c r="C345" s="349" t="s">
        <v>115</v>
      </c>
      <c r="D345" s="350">
        <v>5.2</v>
      </c>
      <c r="E345" s="351">
        <v>92752</v>
      </c>
      <c r="F345" s="354">
        <f t="shared" ref="F345:F347" si="22">ROUND(D345*E345,0)</f>
        <v>482310</v>
      </c>
    </row>
    <row r="346" spans="1:6" ht="86.25" x14ac:dyDescent="0.25">
      <c r="A346" s="349">
        <v>6.2</v>
      </c>
      <c r="B346" s="4" t="s">
        <v>466</v>
      </c>
      <c r="C346" s="349" t="s">
        <v>115</v>
      </c>
      <c r="D346" s="350">
        <v>50</v>
      </c>
      <c r="E346" s="351">
        <v>177279</v>
      </c>
      <c r="F346" s="351">
        <f t="shared" si="22"/>
        <v>8863950</v>
      </c>
    </row>
    <row r="347" spans="1:6" ht="29.25" x14ac:dyDescent="0.25">
      <c r="A347" s="349" t="s">
        <v>467</v>
      </c>
      <c r="B347" s="4" t="s">
        <v>902</v>
      </c>
      <c r="C347" s="349" t="s">
        <v>115</v>
      </c>
      <c r="D347" s="350">
        <v>9</v>
      </c>
      <c r="E347" s="351">
        <v>94080</v>
      </c>
      <c r="F347" s="351">
        <f t="shared" si="22"/>
        <v>846720</v>
      </c>
    </row>
    <row r="348" spans="1:6" x14ac:dyDescent="0.25">
      <c r="A348" s="349">
        <v>7</v>
      </c>
      <c r="B348" s="12" t="s">
        <v>469</v>
      </c>
      <c r="C348" s="349"/>
      <c r="D348" s="350"/>
      <c r="E348" s="351" t="s">
        <v>1</v>
      </c>
      <c r="F348" s="351"/>
    </row>
    <row r="349" spans="1:6" ht="57.75" x14ac:dyDescent="0.25">
      <c r="A349" s="349" t="s">
        <v>372</v>
      </c>
      <c r="B349" s="4" t="s">
        <v>903</v>
      </c>
      <c r="C349" s="349" t="s">
        <v>18</v>
      </c>
      <c r="D349" s="350">
        <v>216</v>
      </c>
      <c r="E349" s="351">
        <v>77021</v>
      </c>
      <c r="F349" s="351">
        <f t="shared" ref="F349:F358" si="23">ROUND(D349*E349,0)</f>
        <v>16636536</v>
      </c>
    </row>
    <row r="350" spans="1:6" ht="129" x14ac:dyDescent="0.25">
      <c r="A350" s="349" t="s">
        <v>411</v>
      </c>
      <c r="B350" s="6" t="s">
        <v>904</v>
      </c>
      <c r="C350" s="349" t="s">
        <v>23</v>
      </c>
      <c r="D350" s="350">
        <v>47</v>
      </c>
      <c r="E350" s="351">
        <v>66433</v>
      </c>
      <c r="F350" s="351">
        <f t="shared" si="23"/>
        <v>3122351</v>
      </c>
    </row>
    <row r="351" spans="1:6" ht="29.25" x14ac:dyDescent="0.25">
      <c r="A351" s="349" t="s">
        <v>378</v>
      </c>
      <c r="B351" s="4" t="s">
        <v>473</v>
      </c>
      <c r="C351" s="349" t="s">
        <v>125</v>
      </c>
      <c r="D351" s="350">
        <v>2</v>
      </c>
      <c r="E351" s="351">
        <v>1540425</v>
      </c>
      <c r="F351" s="351">
        <f t="shared" si="23"/>
        <v>3080850</v>
      </c>
    </row>
    <row r="352" spans="1:6" ht="29.25" x14ac:dyDescent="0.25">
      <c r="A352" s="349" t="s">
        <v>380</v>
      </c>
      <c r="B352" s="4" t="s">
        <v>905</v>
      </c>
      <c r="C352" s="349" t="s">
        <v>125</v>
      </c>
      <c r="D352" s="350">
        <v>1</v>
      </c>
      <c r="E352" s="351">
        <v>602775</v>
      </c>
      <c r="F352" s="351">
        <f t="shared" si="23"/>
        <v>602775</v>
      </c>
    </row>
    <row r="353" spans="1:6" x14ac:dyDescent="0.25">
      <c r="A353" s="349" t="s">
        <v>382</v>
      </c>
      <c r="B353" s="5" t="s">
        <v>906</v>
      </c>
      <c r="C353" s="349" t="s">
        <v>125</v>
      </c>
      <c r="D353" s="349">
        <v>2</v>
      </c>
      <c r="E353" s="351">
        <v>227715</v>
      </c>
      <c r="F353" s="351">
        <f t="shared" si="23"/>
        <v>455430</v>
      </c>
    </row>
    <row r="354" spans="1:6" x14ac:dyDescent="0.25">
      <c r="A354" s="349">
        <v>8</v>
      </c>
      <c r="B354" s="12" t="s">
        <v>394</v>
      </c>
      <c r="C354" s="349"/>
      <c r="D354" s="350"/>
      <c r="E354" s="351" t="s">
        <v>1</v>
      </c>
      <c r="F354" s="351"/>
    </row>
    <row r="355" spans="1:6" ht="86.25" x14ac:dyDescent="0.25">
      <c r="A355" s="349"/>
      <c r="B355" s="4" t="s">
        <v>907</v>
      </c>
      <c r="C355" s="349" t="s">
        <v>23</v>
      </c>
      <c r="D355" s="350">
        <v>1</v>
      </c>
      <c r="E355" s="351">
        <v>616170</v>
      </c>
      <c r="F355" s="351">
        <f t="shared" si="23"/>
        <v>616170</v>
      </c>
    </row>
    <row r="356" spans="1:6" ht="29.25" x14ac:dyDescent="0.25">
      <c r="A356" s="349" t="s">
        <v>395</v>
      </c>
      <c r="B356" s="4" t="s">
        <v>396</v>
      </c>
      <c r="C356" s="349" t="s">
        <v>18</v>
      </c>
      <c r="D356" s="350">
        <v>600</v>
      </c>
      <c r="E356" s="351">
        <v>13292</v>
      </c>
      <c r="F356" s="351">
        <f t="shared" si="23"/>
        <v>7975200</v>
      </c>
    </row>
    <row r="357" spans="1:6" ht="71.25" x14ac:dyDescent="0.25">
      <c r="A357" s="349" t="s">
        <v>414</v>
      </c>
      <c r="B357" s="10" t="s">
        <v>908</v>
      </c>
      <c r="C357" s="349" t="s">
        <v>115</v>
      </c>
      <c r="D357" s="350">
        <v>40</v>
      </c>
      <c r="E357" s="351">
        <v>812503</v>
      </c>
      <c r="F357" s="351">
        <f t="shared" si="23"/>
        <v>32500120</v>
      </c>
    </row>
    <row r="358" spans="1:6" ht="43.5" x14ac:dyDescent="0.25">
      <c r="A358" s="349" t="s">
        <v>415</v>
      </c>
      <c r="B358" s="355" t="s">
        <v>909</v>
      </c>
      <c r="C358" s="349" t="s">
        <v>115</v>
      </c>
      <c r="D358" s="350">
        <v>6.4</v>
      </c>
      <c r="E358" s="351">
        <v>704004</v>
      </c>
      <c r="F358" s="351">
        <f t="shared" si="23"/>
        <v>4505626</v>
      </c>
    </row>
    <row r="359" spans="1:6" x14ac:dyDescent="0.25">
      <c r="A359" s="348"/>
      <c r="B359" s="18" t="s">
        <v>56</v>
      </c>
      <c r="C359" s="54"/>
      <c r="D359" s="130"/>
      <c r="E359" s="251"/>
      <c r="F359" s="28">
        <f>ROUND(F356+F355+F354+F353+F352+F351+F350+F349+F348+F347+F346+F345+F344+F343+F342+F341+F340+F339+F338+F337+F336+F335+F334+F333+F357+F358+F331+F330+F329,0)</f>
        <v>104644039</v>
      </c>
    </row>
    <row r="360" spans="1:6" x14ac:dyDescent="0.25">
      <c r="A360" s="19"/>
      <c r="B360" s="19" t="s">
        <v>60</v>
      </c>
      <c r="C360" s="19"/>
      <c r="D360" s="19"/>
      <c r="E360" s="19"/>
      <c r="F360" s="29">
        <f>ROUND(F359/1.3495,0)</f>
        <v>77542823</v>
      </c>
    </row>
    <row r="361" spans="1:6" x14ac:dyDescent="0.25">
      <c r="A361" s="19"/>
      <c r="B361" s="19" t="s">
        <v>61</v>
      </c>
      <c r="C361" s="131">
        <v>0.24</v>
      </c>
      <c r="D361" s="19"/>
      <c r="E361" s="19"/>
      <c r="F361" s="29">
        <f>ROUND(F360*C361,0)</f>
        <v>18610278</v>
      </c>
    </row>
    <row r="362" spans="1:6" x14ac:dyDescent="0.25">
      <c r="A362" s="19"/>
      <c r="B362" s="19" t="s">
        <v>57</v>
      </c>
      <c r="C362" s="131">
        <v>0.05</v>
      </c>
      <c r="D362" s="19"/>
      <c r="E362" s="19"/>
      <c r="F362" s="29">
        <f>ROUND(F360*C362,0)</f>
        <v>3877141</v>
      </c>
    </row>
    <row r="363" spans="1:6" x14ac:dyDescent="0.25">
      <c r="A363" s="19"/>
      <c r="B363" s="19" t="s">
        <v>62</v>
      </c>
      <c r="C363" s="131">
        <v>0.05</v>
      </c>
      <c r="D363" s="19"/>
      <c r="E363" s="19"/>
      <c r="F363" s="29">
        <f>ROUND(F360*C363,0)</f>
        <v>3877141</v>
      </c>
    </row>
    <row r="364" spans="1:6" x14ac:dyDescent="0.25">
      <c r="A364" s="19"/>
      <c r="B364" s="19" t="s">
        <v>63</v>
      </c>
      <c r="C364" s="131">
        <v>0.19</v>
      </c>
      <c r="D364" s="19"/>
      <c r="E364" s="19"/>
      <c r="F364" s="29">
        <f>ROUND(F363*19%,0)</f>
        <v>736657</v>
      </c>
    </row>
    <row r="365" spans="1:6" x14ac:dyDescent="0.25">
      <c r="A365" s="19"/>
      <c r="B365" s="18" t="s">
        <v>56</v>
      </c>
      <c r="C365" s="19"/>
      <c r="D365" s="19"/>
      <c r="E365" s="19"/>
      <c r="F365" s="30">
        <f>SUM(F360:F364)</f>
        <v>104644040</v>
      </c>
    </row>
    <row r="366" spans="1:6" x14ac:dyDescent="0.25">
      <c r="A366" s="346"/>
      <c r="B366" s="346"/>
      <c r="C366" s="346"/>
      <c r="D366" s="347"/>
      <c r="E366" s="347"/>
      <c r="F366" s="347"/>
    </row>
    <row r="369" spans="1:13" ht="30" customHeight="1" x14ac:dyDescent="0.25">
      <c r="A369" s="250"/>
      <c r="B369" s="417" t="s">
        <v>94</v>
      </c>
      <c r="C369" s="418"/>
      <c r="D369" s="418"/>
      <c r="E369" s="419"/>
      <c r="F369" s="95">
        <f>F323+F278+F242+F207+F168+F122+F88+F45+F365</f>
        <v>464314575</v>
      </c>
      <c r="H369" s="184" t="s">
        <v>1</v>
      </c>
      <c r="K369" s="80"/>
      <c r="L369" s="80"/>
      <c r="M369" s="83"/>
    </row>
    <row r="370" spans="1:13" x14ac:dyDescent="0.25">
      <c r="K370" s="184"/>
      <c r="L370" s="83"/>
      <c r="M370" s="83"/>
    </row>
  </sheetData>
  <mergeCells count="47">
    <mergeCell ref="C7:E7"/>
    <mergeCell ref="B2:F2"/>
    <mergeCell ref="A4:F4"/>
    <mergeCell ref="A5:A6"/>
    <mergeCell ref="B5:B6"/>
    <mergeCell ref="C5:C6"/>
    <mergeCell ref="D5:F5"/>
    <mergeCell ref="A49:F49"/>
    <mergeCell ref="A50:A51"/>
    <mergeCell ref="B50:B51"/>
    <mergeCell ref="C50:C51"/>
    <mergeCell ref="D50:F50"/>
    <mergeCell ref="C133:E133"/>
    <mergeCell ref="A169:F169"/>
    <mergeCell ref="C52:E52"/>
    <mergeCell ref="A90:F90"/>
    <mergeCell ref="A130:F130"/>
    <mergeCell ref="A131:A132"/>
    <mergeCell ref="B131:B132"/>
    <mergeCell ref="C131:C132"/>
    <mergeCell ref="D131:F131"/>
    <mergeCell ref="A170:A171"/>
    <mergeCell ref="B170:B171"/>
    <mergeCell ref="C170:C171"/>
    <mergeCell ref="D170:F170"/>
    <mergeCell ref="C172:E172"/>
    <mergeCell ref="A215:F215"/>
    <mergeCell ref="A216:A217"/>
    <mergeCell ref="B216:B217"/>
    <mergeCell ref="C216:C217"/>
    <mergeCell ref="D216:F216"/>
    <mergeCell ref="C253:E253"/>
    <mergeCell ref="A286:F286"/>
    <mergeCell ref="A287:F287"/>
    <mergeCell ref="C218:E218"/>
    <mergeCell ref="A250:F250"/>
    <mergeCell ref="A251:A252"/>
    <mergeCell ref="B251:B252"/>
    <mergeCell ref="C251:C252"/>
    <mergeCell ref="D251:F251"/>
    <mergeCell ref="B369:E369"/>
    <mergeCell ref="A288:A289"/>
    <mergeCell ref="B288:B289"/>
    <mergeCell ref="C288:C289"/>
    <mergeCell ref="D288:F288"/>
    <mergeCell ref="C290:E290"/>
    <mergeCell ref="A326:F326"/>
  </mergeCells>
  <pageMargins left="0.70866141732283472" right="0.70866141732283472" top="0.94488188976377963" bottom="0.94488188976377963" header="0.31496062992125984" footer="0.31496062992125984"/>
  <pageSetup scale="80" orientation="portrait" horizontalDpi="4294967295" verticalDpi="4294967295" r:id="rId1"/>
  <headerFooter differentOddEven="1" differentFirst="1">
    <oddHeader>&amp;C&amp;P de &amp;N</oddHeader>
    <evenHeader>&amp;C&amp;P de &amp;N</evenHeader>
    <firstHeader>&amp;C&amp;P de &amp;N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93"/>
  <sheetViews>
    <sheetView view="pageLayout" topLeftCell="A628" zoomScaleNormal="100" workbookViewId="0">
      <selection activeCell="A515" sqref="A515:F515"/>
    </sheetView>
  </sheetViews>
  <sheetFormatPr baseColWidth="10" defaultRowHeight="15" x14ac:dyDescent="0.25"/>
  <cols>
    <col min="1" max="1" width="11.7109375" style="81" bestFit="1" customWidth="1"/>
    <col min="2" max="2" width="34" style="81" customWidth="1"/>
    <col min="3" max="3" width="11.42578125" style="81"/>
    <col min="4" max="4" width="11.7109375" style="81" bestFit="1" customWidth="1"/>
    <col min="5" max="5" width="16.42578125" style="81" customWidth="1"/>
    <col min="6" max="6" width="15.42578125" style="81" bestFit="1" customWidth="1"/>
    <col min="7" max="7" width="12.5703125" style="81" bestFit="1" customWidth="1"/>
    <col min="8" max="16384" width="11.42578125" style="81"/>
  </cols>
  <sheetData>
    <row r="2" spans="1:6" ht="15.75" x14ac:dyDescent="0.25">
      <c r="A2" s="482" t="s">
        <v>830</v>
      </c>
      <c r="B2" s="482"/>
      <c r="C2" s="482"/>
      <c r="D2" s="482"/>
      <c r="E2" s="482"/>
      <c r="F2" s="482"/>
    </row>
    <row r="4" spans="1:6" x14ac:dyDescent="0.25">
      <c r="A4" s="527" t="s">
        <v>724</v>
      </c>
      <c r="B4" s="527"/>
      <c r="C4" s="527"/>
      <c r="D4" s="527"/>
      <c r="E4" s="527"/>
      <c r="F4" s="527"/>
    </row>
    <row r="5" spans="1:6" x14ac:dyDescent="0.25">
      <c r="A5" s="420" t="s">
        <v>10</v>
      </c>
      <c r="B5" s="420" t="s">
        <v>0</v>
      </c>
      <c r="C5" s="420" t="s">
        <v>11</v>
      </c>
      <c r="D5" s="420" t="s">
        <v>12</v>
      </c>
      <c r="E5" s="420"/>
      <c r="F5" s="420"/>
    </row>
    <row r="6" spans="1:6" x14ac:dyDescent="0.25">
      <c r="A6" s="420"/>
      <c r="B6" s="420"/>
      <c r="C6" s="420"/>
      <c r="D6" s="54" t="s">
        <v>13</v>
      </c>
      <c r="E6" s="54" t="s">
        <v>14</v>
      </c>
      <c r="F6" s="54" t="s">
        <v>15</v>
      </c>
    </row>
    <row r="7" spans="1:6" x14ac:dyDescent="0.25">
      <c r="A7" s="405">
        <v>1</v>
      </c>
      <c r="B7" s="18" t="s">
        <v>16</v>
      </c>
      <c r="C7" s="420"/>
      <c r="D7" s="420"/>
      <c r="E7" s="420"/>
      <c r="F7" s="20"/>
    </row>
    <row r="8" spans="1:6" ht="29.25" x14ac:dyDescent="0.25">
      <c r="A8" s="405">
        <v>2</v>
      </c>
      <c r="B8" s="406" t="s">
        <v>17</v>
      </c>
      <c r="C8" s="404" t="s">
        <v>18</v>
      </c>
      <c r="D8" s="61">
        <v>114</v>
      </c>
      <c r="E8" s="242">
        <v>5214</v>
      </c>
      <c r="F8" s="187">
        <f t="shared" ref="F8:F36" si="0">ROUND(D8*E8,0)</f>
        <v>594396</v>
      </c>
    </row>
    <row r="9" spans="1:6" ht="28.5" x14ac:dyDescent="0.25">
      <c r="A9" s="405">
        <v>4</v>
      </c>
      <c r="B9" s="408" t="s">
        <v>21</v>
      </c>
      <c r="C9" s="404" t="s">
        <v>18</v>
      </c>
      <c r="D9" s="61">
        <v>240</v>
      </c>
      <c r="E9" s="242">
        <v>13608</v>
      </c>
      <c r="F9" s="187">
        <f t="shared" si="0"/>
        <v>3265920</v>
      </c>
    </row>
    <row r="10" spans="1:6" x14ac:dyDescent="0.25">
      <c r="A10" s="405">
        <v>5</v>
      </c>
      <c r="B10" s="406" t="s">
        <v>22</v>
      </c>
      <c r="C10" s="404" t="s">
        <v>23</v>
      </c>
      <c r="D10" s="61">
        <v>2</v>
      </c>
      <c r="E10" s="242">
        <v>155349</v>
      </c>
      <c r="F10" s="187">
        <f t="shared" si="0"/>
        <v>310698</v>
      </c>
    </row>
    <row r="11" spans="1:6" x14ac:dyDescent="0.25">
      <c r="A11" s="405">
        <f>A10+1</f>
        <v>6</v>
      </c>
      <c r="B11" s="188" t="s">
        <v>25</v>
      </c>
      <c r="C11" s="20"/>
      <c r="D11" s="20"/>
      <c r="E11" s="242" t="s">
        <v>1</v>
      </c>
      <c r="F11" s="187" t="s">
        <v>1</v>
      </c>
    </row>
    <row r="12" spans="1:6" x14ac:dyDescent="0.25">
      <c r="A12" s="405">
        <f t="shared" ref="A12:A36" si="1">A11+1</f>
        <v>7</v>
      </c>
      <c r="B12" s="56" t="s">
        <v>26</v>
      </c>
      <c r="C12" s="404" t="s">
        <v>18</v>
      </c>
      <c r="D12" s="61">
        <v>340</v>
      </c>
      <c r="E12" s="242">
        <v>7630</v>
      </c>
      <c r="F12" s="187">
        <f t="shared" si="0"/>
        <v>2594200</v>
      </c>
    </row>
    <row r="13" spans="1:6" ht="42.75" x14ac:dyDescent="0.25">
      <c r="A13" s="405">
        <f t="shared" si="1"/>
        <v>8</v>
      </c>
      <c r="B13" s="408" t="s">
        <v>27</v>
      </c>
      <c r="C13" s="404" t="s">
        <v>64</v>
      </c>
      <c r="D13" s="61">
        <v>26</v>
      </c>
      <c r="E13" s="242">
        <v>83312</v>
      </c>
      <c r="F13" s="187">
        <f t="shared" si="0"/>
        <v>2166112</v>
      </c>
    </row>
    <row r="14" spans="1:6" x14ac:dyDescent="0.25">
      <c r="A14" s="405">
        <f t="shared" si="1"/>
        <v>9</v>
      </c>
      <c r="B14" s="18" t="s">
        <v>28</v>
      </c>
      <c r="C14" s="20"/>
      <c r="D14" s="20"/>
      <c r="E14" s="242" t="s">
        <v>1</v>
      </c>
      <c r="F14" s="187" t="s">
        <v>1</v>
      </c>
    </row>
    <row r="15" spans="1:6" x14ac:dyDescent="0.25">
      <c r="A15" s="405">
        <f t="shared" si="1"/>
        <v>10</v>
      </c>
      <c r="B15" s="408" t="s">
        <v>29</v>
      </c>
      <c r="C15" s="404" t="s">
        <v>64</v>
      </c>
      <c r="D15" s="61">
        <v>268</v>
      </c>
      <c r="E15" s="242">
        <v>26317</v>
      </c>
      <c r="F15" s="187">
        <f t="shared" si="0"/>
        <v>7052956</v>
      </c>
    </row>
    <row r="16" spans="1:6" x14ac:dyDescent="0.25">
      <c r="A16" s="405">
        <f t="shared" si="1"/>
        <v>11</v>
      </c>
      <c r="B16" s="406" t="s">
        <v>30</v>
      </c>
      <c r="C16" s="404" t="s">
        <v>64</v>
      </c>
      <c r="D16" s="61">
        <v>20</v>
      </c>
      <c r="E16" s="242">
        <v>30682</v>
      </c>
      <c r="F16" s="187">
        <f t="shared" si="0"/>
        <v>613640</v>
      </c>
    </row>
    <row r="17" spans="1:6" x14ac:dyDescent="0.25">
      <c r="A17" s="405">
        <f t="shared" si="1"/>
        <v>12</v>
      </c>
      <c r="B17" s="408" t="s">
        <v>31</v>
      </c>
      <c r="C17" s="404" t="s">
        <v>18</v>
      </c>
      <c r="D17" s="61">
        <v>60</v>
      </c>
      <c r="E17" s="242">
        <v>31128</v>
      </c>
      <c r="F17" s="187">
        <f t="shared" si="0"/>
        <v>1867680</v>
      </c>
    </row>
    <row r="18" spans="1:6" ht="29.25" x14ac:dyDescent="0.25">
      <c r="A18" s="405">
        <f t="shared" si="1"/>
        <v>13</v>
      </c>
      <c r="B18" s="406" t="s">
        <v>32</v>
      </c>
      <c r="C18" s="404" t="s">
        <v>64</v>
      </c>
      <c r="D18" s="61">
        <v>89</v>
      </c>
      <c r="E18" s="242">
        <v>32749</v>
      </c>
      <c r="F18" s="187">
        <f t="shared" si="0"/>
        <v>2914661</v>
      </c>
    </row>
    <row r="19" spans="1:6" ht="30" x14ac:dyDescent="0.25">
      <c r="A19" s="405">
        <f t="shared" si="1"/>
        <v>14</v>
      </c>
      <c r="B19" s="188" t="s">
        <v>33</v>
      </c>
      <c r="C19" s="20"/>
      <c r="D19" s="20"/>
      <c r="E19" s="242" t="s">
        <v>1</v>
      </c>
      <c r="F19" s="187" t="s">
        <v>1</v>
      </c>
    </row>
    <row r="20" spans="1:6" ht="29.25" x14ac:dyDescent="0.25">
      <c r="A20" s="405">
        <f t="shared" si="1"/>
        <v>15</v>
      </c>
      <c r="B20" s="406" t="s">
        <v>66</v>
      </c>
      <c r="C20" s="405" t="s">
        <v>18</v>
      </c>
      <c r="D20" s="31">
        <v>114</v>
      </c>
      <c r="E20" s="59">
        <v>23781</v>
      </c>
      <c r="F20" s="187">
        <f t="shared" si="0"/>
        <v>2711034</v>
      </c>
    </row>
    <row r="21" spans="1:6" ht="57.75" x14ac:dyDescent="0.25">
      <c r="A21" s="405">
        <f t="shared" si="1"/>
        <v>16</v>
      </c>
      <c r="B21" s="56" t="s">
        <v>35</v>
      </c>
      <c r="C21" s="405" t="s">
        <v>18</v>
      </c>
      <c r="D21" s="31">
        <v>2</v>
      </c>
      <c r="E21" s="59">
        <v>637411</v>
      </c>
      <c r="F21" s="187">
        <f t="shared" si="0"/>
        <v>1274822</v>
      </c>
    </row>
    <row r="22" spans="1:6" ht="43.5" x14ac:dyDescent="0.25">
      <c r="A22" s="405">
        <f t="shared" si="1"/>
        <v>17</v>
      </c>
      <c r="B22" s="406" t="s">
        <v>36</v>
      </c>
      <c r="C22" s="405" t="s">
        <v>37</v>
      </c>
      <c r="D22" s="31">
        <v>2</v>
      </c>
      <c r="E22" s="59">
        <v>777600</v>
      </c>
      <c r="F22" s="187">
        <f t="shared" si="0"/>
        <v>1555200</v>
      </c>
    </row>
    <row r="23" spans="1:6" x14ac:dyDescent="0.25">
      <c r="A23" s="405">
        <f t="shared" si="1"/>
        <v>18</v>
      </c>
      <c r="B23" s="406" t="s">
        <v>38</v>
      </c>
      <c r="C23" s="404" t="s">
        <v>37</v>
      </c>
      <c r="D23" s="61">
        <v>3</v>
      </c>
      <c r="E23" s="242">
        <v>540447</v>
      </c>
      <c r="F23" s="187">
        <f t="shared" si="0"/>
        <v>1621341</v>
      </c>
    </row>
    <row r="24" spans="1:6" ht="28.5" x14ac:dyDescent="0.25">
      <c r="A24" s="405">
        <f t="shared" si="1"/>
        <v>19</v>
      </c>
      <c r="B24" s="408" t="s">
        <v>39</v>
      </c>
      <c r="C24" s="404" t="s">
        <v>18</v>
      </c>
      <c r="D24" s="61">
        <v>60</v>
      </c>
      <c r="E24" s="242">
        <v>13802</v>
      </c>
      <c r="F24" s="187">
        <f t="shared" si="0"/>
        <v>828120</v>
      </c>
    </row>
    <row r="25" spans="1:6" ht="42.75" x14ac:dyDescent="0.25">
      <c r="A25" s="405">
        <f t="shared" si="1"/>
        <v>20</v>
      </c>
      <c r="B25" s="408" t="s">
        <v>75</v>
      </c>
      <c r="C25" s="405" t="s">
        <v>23</v>
      </c>
      <c r="D25" s="31">
        <v>14</v>
      </c>
      <c r="E25" s="59">
        <v>399818</v>
      </c>
      <c r="F25" s="187">
        <f t="shared" si="0"/>
        <v>5597452</v>
      </c>
    </row>
    <row r="26" spans="1:6" x14ac:dyDescent="0.25">
      <c r="A26" s="405">
        <f t="shared" si="1"/>
        <v>21</v>
      </c>
      <c r="B26" s="408" t="s">
        <v>67</v>
      </c>
      <c r="C26" s="405" t="s">
        <v>23</v>
      </c>
      <c r="D26" s="31">
        <v>14</v>
      </c>
      <c r="E26" s="59">
        <v>43482</v>
      </c>
      <c r="F26" s="187">
        <f t="shared" si="0"/>
        <v>608748</v>
      </c>
    </row>
    <row r="27" spans="1:6" x14ac:dyDescent="0.25">
      <c r="A27" s="405">
        <f t="shared" si="1"/>
        <v>22</v>
      </c>
      <c r="B27" s="408" t="s">
        <v>42</v>
      </c>
      <c r="C27" s="405" t="s">
        <v>23</v>
      </c>
      <c r="D27" s="31">
        <v>4</v>
      </c>
      <c r="E27" s="59">
        <v>90312</v>
      </c>
      <c r="F27" s="187">
        <f t="shared" si="0"/>
        <v>361248</v>
      </c>
    </row>
    <row r="28" spans="1:6" x14ac:dyDescent="0.25">
      <c r="A28" s="405">
        <f t="shared" si="1"/>
        <v>23</v>
      </c>
      <c r="B28" s="407" t="s">
        <v>43</v>
      </c>
      <c r="C28" s="20"/>
      <c r="D28" s="20"/>
      <c r="E28" s="59"/>
      <c r="F28" s="187"/>
    </row>
    <row r="29" spans="1:6" x14ac:dyDescent="0.25">
      <c r="A29" s="405">
        <f t="shared" si="1"/>
        <v>24</v>
      </c>
      <c r="B29" s="408" t="s">
        <v>44</v>
      </c>
      <c r="C29" s="405" t="s">
        <v>64</v>
      </c>
      <c r="D29" s="31">
        <v>14</v>
      </c>
      <c r="E29" s="59">
        <v>120657</v>
      </c>
      <c r="F29" s="187">
        <f t="shared" si="0"/>
        <v>1689198</v>
      </c>
    </row>
    <row r="30" spans="1:6" ht="28.5" x14ac:dyDescent="0.25">
      <c r="A30" s="405">
        <f t="shared" si="1"/>
        <v>25</v>
      </c>
      <c r="B30" s="408" t="s">
        <v>45</v>
      </c>
      <c r="C30" s="405" t="s">
        <v>64</v>
      </c>
      <c r="D30" s="31">
        <v>226</v>
      </c>
      <c r="E30" s="59">
        <v>22131</v>
      </c>
      <c r="F30" s="187">
        <f t="shared" si="0"/>
        <v>5001606</v>
      </c>
    </row>
    <row r="31" spans="1:6" x14ac:dyDescent="0.25">
      <c r="A31" s="405">
        <f t="shared" si="1"/>
        <v>26</v>
      </c>
      <c r="B31" s="408" t="s">
        <v>46</v>
      </c>
      <c r="C31" s="404" t="s">
        <v>64</v>
      </c>
      <c r="D31" s="61">
        <v>35</v>
      </c>
      <c r="E31" s="242">
        <v>144847</v>
      </c>
      <c r="F31" s="187">
        <f t="shared" si="0"/>
        <v>5069645</v>
      </c>
    </row>
    <row r="32" spans="1:6" x14ac:dyDescent="0.25">
      <c r="A32" s="405">
        <f t="shared" si="1"/>
        <v>27</v>
      </c>
      <c r="B32" s="188" t="s">
        <v>48</v>
      </c>
      <c r="C32" s="20"/>
      <c r="D32" s="20"/>
      <c r="E32" s="242"/>
      <c r="F32" s="187"/>
    </row>
    <row r="33" spans="1:6" ht="28.5" x14ac:dyDescent="0.25">
      <c r="A33" s="405">
        <f t="shared" si="1"/>
        <v>28</v>
      </c>
      <c r="B33" s="408" t="s">
        <v>49</v>
      </c>
      <c r="C33" s="404" t="s">
        <v>64</v>
      </c>
      <c r="D33" s="61">
        <v>2</v>
      </c>
      <c r="E33" s="242">
        <v>605480</v>
      </c>
      <c r="F33" s="187">
        <f t="shared" si="0"/>
        <v>1210960</v>
      </c>
    </row>
    <row r="34" spans="1:6" ht="28.5" x14ac:dyDescent="0.25">
      <c r="A34" s="405">
        <f t="shared" si="1"/>
        <v>29</v>
      </c>
      <c r="B34" s="408" t="s">
        <v>50</v>
      </c>
      <c r="C34" s="404" t="s">
        <v>64</v>
      </c>
      <c r="D34" s="61">
        <v>26</v>
      </c>
      <c r="E34" s="242">
        <v>822268</v>
      </c>
      <c r="F34" s="187">
        <f t="shared" si="0"/>
        <v>21378968</v>
      </c>
    </row>
    <row r="35" spans="1:6" x14ac:dyDescent="0.25">
      <c r="A35" s="405">
        <f t="shared" si="1"/>
        <v>30</v>
      </c>
      <c r="B35" s="407" t="s">
        <v>51</v>
      </c>
      <c r="C35" s="20"/>
      <c r="D35" s="20"/>
      <c r="E35" s="242"/>
      <c r="F35" s="187"/>
    </row>
    <row r="36" spans="1:6" x14ac:dyDescent="0.25">
      <c r="A36" s="405">
        <f t="shared" si="1"/>
        <v>31</v>
      </c>
      <c r="B36" s="408" t="s">
        <v>52</v>
      </c>
      <c r="C36" s="404" t="s">
        <v>53</v>
      </c>
      <c r="D36" s="61">
        <v>36</v>
      </c>
      <c r="E36" s="242">
        <v>5922</v>
      </c>
      <c r="F36" s="187">
        <f t="shared" si="0"/>
        <v>213192</v>
      </c>
    </row>
    <row r="37" spans="1:6" x14ac:dyDescent="0.25">
      <c r="A37" s="403"/>
      <c r="B37" s="18" t="s">
        <v>56</v>
      </c>
      <c r="C37" s="54"/>
      <c r="D37" s="130"/>
      <c r="E37" s="28"/>
      <c r="F37" s="79">
        <f>SUM(F8:F36)</f>
        <v>70501797</v>
      </c>
    </row>
    <row r="38" spans="1:6" x14ac:dyDescent="0.25">
      <c r="A38" s="19"/>
      <c r="B38" s="19" t="s">
        <v>60</v>
      </c>
      <c r="C38" s="19"/>
      <c r="D38" s="19"/>
      <c r="E38" s="19"/>
      <c r="F38" s="29">
        <f>ROUND(F37/1.3495,0)</f>
        <v>52242903</v>
      </c>
    </row>
    <row r="39" spans="1:6" x14ac:dyDescent="0.25">
      <c r="A39" s="19"/>
      <c r="B39" s="19" t="s">
        <v>61</v>
      </c>
      <c r="C39" s="131">
        <v>0.24</v>
      </c>
      <c r="D39" s="19"/>
      <c r="E39" s="19"/>
      <c r="F39" s="29">
        <f>ROUND(F38*C39,0)</f>
        <v>12538297</v>
      </c>
    </row>
    <row r="40" spans="1:6" x14ac:dyDescent="0.25">
      <c r="A40" s="19"/>
      <c r="B40" s="19" t="s">
        <v>57</v>
      </c>
      <c r="C40" s="131">
        <v>0.05</v>
      </c>
      <c r="D40" s="19"/>
      <c r="E40" s="19"/>
      <c r="F40" s="29">
        <f>ROUND(F38*C40,0)</f>
        <v>2612145</v>
      </c>
    </row>
    <row r="41" spans="1:6" x14ac:dyDescent="0.25">
      <c r="A41" s="19"/>
      <c r="B41" s="19" t="s">
        <v>62</v>
      </c>
      <c r="C41" s="131">
        <v>0.05</v>
      </c>
      <c r="D41" s="19"/>
      <c r="E41" s="19"/>
      <c r="F41" s="29">
        <f>ROUND(F38*C41,0)</f>
        <v>2612145</v>
      </c>
    </row>
    <row r="42" spans="1:6" x14ac:dyDescent="0.25">
      <c r="A42" s="19"/>
      <c r="B42" s="132" t="s">
        <v>63</v>
      </c>
      <c r="C42" s="133">
        <v>0.19</v>
      </c>
      <c r="D42" s="120"/>
      <c r="E42" s="120"/>
      <c r="F42" s="35">
        <f>ROUND(F41*19%,0)</f>
        <v>496308</v>
      </c>
    </row>
    <row r="43" spans="1:6" x14ac:dyDescent="0.25">
      <c r="A43" s="19"/>
      <c r="B43" s="18" t="s">
        <v>56</v>
      </c>
      <c r="C43" s="19"/>
      <c r="D43" s="19"/>
      <c r="E43" s="19"/>
      <c r="F43" s="30">
        <f>SUM(F38:F42)</f>
        <v>70501798</v>
      </c>
    </row>
    <row r="46" spans="1:6" x14ac:dyDescent="0.25">
      <c r="A46" s="422" t="s">
        <v>725</v>
      </c>
      <c r="B46" s="422"/>
      <c r="C46" s="422"/>
      <c r="D46" s="422"/>
      <c r="E46" s="422"/>
      <c r="F46" s="422"/>
    </row>
    <row r="47" spans="1:6" x14ac:dyDescent="0.25">
      <c r="A47" s="420" t="s">
        <v>10</v>
      </c>
      <c r="B47" s="420" t="s">
        <v>0</v>
      </c>
      <c r="C47" s="420" t="s">
        <v>11</v>
      </c>
      <c r="D47" s="420" t="s">
        <v>12</v>
      </c>
      <c r="E47" s="420"/>
      <c r="F47" s="420"/>
    </row>
    <row r="48" spans="1:6" x14ac:dyDescent="0.25">
      <c r="A48" s="420"/>
      <c r="B48" s="420"/>
      <c r="C48" s="420"/>
      <c r="D48" s="54" t="s">
        <v>13</v>
      </c>
      <c r="E48" s="54" t="s">
        <v>14</v>
      </c>
      <c r="F48" s="54" t="s">
        <v>15</v>
      </c>
    </row>
    <row r="49" spans="1:6" x14ac:dyDescent="0.25">
      <c r="A49" s="405">
        <v>1</v>
      </c>
      <c r="B49" s="18" t="s">
        <v>16</v>
      </c>
      <c r="C49" s="420"/>
      <c r="D49" s="420"/>
      <c r="E49" s="420"/>
      <c r="F49" s="20"/>
    </row>
    <row r="50" spans="1:6" ht="29.25" x14ac:dyDescent="0.25">
      <c r="A50" s="405">
        <v>2</v>
      </c>
      <c r="B50" s="406" t="s">
        <v>17</v>
      </c>
      <c r="C50" s="405" t="s">
        <v>18</v>
      </c>
      <c r="D50" s="31">
        <v>54</v>
      </c>
      <c r="E50" s="59">
        <v>5214</v>
      </c>
      <c r="F50" s="187">
        <f t="shared" ref="F50:F77" si="2">ROUND(D50*E50,0)</f>
        <v>281556</v>
      </c>
    </row>
    <row r="51" spans="1:6" ht="29.25" x14ac:dyDescent="0.25">
      <c r="A51" s="405">
        <v>3</v>
      </c>
      <c r="B51" s="406" t="s">
        <v>21</v>
      </c>
      <c r="C51" s="405" t="s">
        <v>18</v>
      </c>
      <c r="D51" s="31">
        <v>120</v>
      </c>
      <c r="E51" s="59">
        <v>13608</v>
      </c>
      <c r="F51" s="187">
        <f t="shared" si="2"/>
        <v>1632960</v>
      </c>
    </row>
    <row r="52" spans="1:6" x14ac:dyDescent="0.25">
      <c r="A52" s="405">
        <v>4</v>
      </c>
      <c r="B52" s="55" t="s">
        <v>22</v>
      </c>
      <c r="C52" s="405" t="s">
        <v>23</v>
      </c>
      <c r="D52" s="31">
        <v>2</v>
      </c>
      <c r="E52" s="59">
        <v>155349</v>
      </c>
      <c r="F52" s="187">
        <f t="shared" si="2"/>
        <v>310698</v>
      </c>
    </row>
    <row r="53" spans="1:6" x14ac:dyDescent="0.25">
      <c r="A53" s="405">
        <v>6</v>
      </c>
      <c r="B53" s="18" t="s">
        <v>25</v>
      </c>
      <c r="C53" s="20"/>
      <c r="D53" s="20"/>
      <c r="E53" s="59" t="s">
        <v>1</v>
      </c>
      <c r="F53" s="187" t="s">
        <v>1</v>
      </c>
    </row>
    <row r="54" spans="1:6" x14ac:dyDescent="0.25">
      <c r="A54" s="405">
        <v>7</v>
      </c>
      <c r="B54" s="56" t="s">
        <v>26</v>
      </c>
      <c r="C54" s="405" t="s">
        <v>18</v>
      </c>
      <c r="D54" s="31">
        <v>10</v>
      </c>
      <c r="E54" s="59">
        <v>7630</v>
      </c>
      <c r="F54" s="187">
        <f t="shared" si="2"/>
        <v>76300</v>
      </c>
    </row>
    <row r="55" spans="1:6" ht="43.5" x14ac:dyDescent="0.25">
      <c r="A55" s="405">
        <v>8</v>
      </c>
      <c r="B55" s="406" t="s">
        <v>27</v>
      </c>
      <c r="C55" s="405" t="s">
        <v>64</v>
      </c>
      <c r="D55" s="31">
        <v>1</v>
      </c>
      <c r="E55" s="59">
        <v>83312</v>
      </c>
      <c r="F55" s="187">
        <f t="shared" si="2"/>
        <v>83312</v>
      </c>
    </row>
    <row r="56" spans="1:6" x14ac:dyDescent="0.25">
      <c r="A56" s="405">
        <v>9</v>
      </c>
      <c r="B56" s="18" t="s">
        <v>28</v>
      </c>
      <c r="C56" s="20"/>
      <c r="D56" s="20"/>
      <c r="E56" s="59" t="s">
        <v>1</v>
      </c>
      <c r="F56" s="187" t="s">
        <v>1</v>
      </c>
    </row>
    <row r="57" spans="1:6" x14ac:dyDescent="0.25">
      <c r="A57" s="405">
        <v>10</v>
      </c>
      <c r="B57" s="55" t="s">
        <v>29</v>
      </c>
      <c r="C57" s="405" t="s">
        <v>64</v>
      </c>
      <c r="D57" s="31">
        <v>96</v>
      </c>
      <c r="E57" s="59">
        <v>26317</v>
      </c>
      <c r="F57" s="187">
        <f t="shared" si="2"/>
        <v>2526432</v>
      </c>
    </row>
    <row r="58" spans="1:6" x14ac:dyDescent="0.25">
      <c r="A58" s="405">
        <v>11</v>
      </c>
      <c r="B58" s="55" t="s">
        <v>31</v>
      </c>
      <c r="C58" s="405" t="s">
        <v>18</v>
      </c>
      <c r="D58" s="31">
        <v>10</v>
      </c>
      <c r="E58" s="59">
        <v>31128</v>
      </c>
      <c r="F58" s="187">
        <f t="shared" si="2"/>
        <v>311280</v>
      </c>
    </row>
    <row r="59" spans="1:6" ht="29.25" x14ac:dyDescent="0.25">
      <c r="A59" s="405">
        <v>12</v>
      </c>
      <c r="B59" s="406" t="s">
        <v>32</v>
      </c>
      <c r="C59" s="405" t="s">
        <v>64</v>
      </c>
      <c r="D59" s="31">
        <v>33</v>
      </c>
      <c r="E59" s="59">
        <v>32749</v>
      </c>
      <c r="F59" s="187">
        <f t="shared" si="2"/>
        <v>1080717</v>
      </c>
    </row>
    <row r="60" spans="1:6" ht="30" x14ac:dyDescent="0.25">
      <c r="A60" s="405">
        <v>13</v>
      </c>
      <c r="B60" s="188" t="s">
        <v>33</v>
      </c>
      <c r="C60" s="20"/>
      <c r="D60" s="20"/>
      <c r="E60" s="59" t="s">
        <v>1</v>
      </c>
      <c r="F60" s="187" t="s">
        <v>1</v>
      </c>
    </row>
    <row r="61" spans="1:6" ht="29.25" x14ac:dyDescent="0.25">
      <c r="A61" s="405">
        <v>14</v>
      </c>
      <c r="B61" s="406" t="s">
        <v>66</v>
      </c>
      <c r="C61" s="405" t="s">
        <v>18</v>
      </c>
      <c r="D61" s="31">
        <v>54</v>
      </c>
      <c r="E61" s="59">
        <v>23781</v>
      </c>
      <c r="F61" s="187">
        <f t="shared" si="2"/>
        <v>1284174</v>
      </c>
    </row>
    <row r="62" spans="1:6" ht="57" x14ac:dyDescent="0.25">
      <c r="A62" s="405">
        <v>15</v>
      </c>
      <c r="B62" s="57" t="s">
        <v>35</v>
      </c>
      <c r="C62" s="405" t="s">
        <v>18</v>
      </c>
      <c r="D62" s="31">
        <v>6</v>
      </c>
      <c r="E62" s="59">
        <v>637411</v>
      </c>
      <c r="F62" s="187">
        <f t="shared" si="2"/>
        <v>3824466</v>
      </c>
    </row>
    <row r="63" spans="1:6" ht="43.5" x14ac:dyDescent="0.25">
      <c r="A63" s="405">
        <v>16</v>
      </c>
      <c r="B63" s="406" t="s">
        <v>74</v>
      </c>
      <c r="C63" s="405" t="s">
        <v>37</v>
      </c>
      <c r="D63" s="31">
        <v>3</v>
      </c>
      <c r="E63" s="59">
        <v>777600</v>
      </c>
      <c r="F63" s="187">
        <f t="shared" si="2"/>
        <v>2332800</v>
      </c>
    </row>
    <row r="64" spans="1:6" x14ac:dyDescent="0.25">
      <c r="A64" s="405">
        <v>17</v>
      </c>
      <c r="B64" s="55" t="s">
        <v>38</v>
      </c>
      <c r="C64" s="405" t="s">
        <v>37</v>
      </c>
      <c r="D64" s="31">
        <v>3</v>
      </c>
      <c r="E64" s="59">
        <v>540447</v>
      </c>
      <c r="F64" s="187">
        <f t="shared" si="2"/>
        <v>1621341</v>
      </c>
    </row>
    <row r="65" spans="1:10" ht="29.25" x14ac:dyDescent="0.25">
      <c r="A65" s="405">
        <v>18</v>
      </c>
      <c r="B65" s="406" t="s">
        <v>39</v>
      </c>
      <c r="C65" s="405" t="s">
        <v>18</v>
      </c>
      <c r="D65" s="31">
        <v>6</v>
      </c>
      <c r="E65" s="59">
        <v>13802</v>
      </c>
      <c r="F65" s="187">
        <f t="shared" si="2"/>
        <v>82812</v>
      </c>
    </row>
    <row r="66" spans="1:10" ht="43.5" x14ac:dyDescent="0.25">
      <c r="A66" s="405">
        <v>19</v>
      </c>
      <c r="B66" s="406" t="s">
        <v>75</v>
      </c>
      <c r="C66" s="405" t="s">
        <v>23</v>
      </c>
      <c r="D66" s="31">
        <v>1</v>
      </c>
      <c r="E66" s="59">
        <v>399818</v>
      </c>
      <c r="F66" s="187">
        <f t="shared" si="2"/>
        <v>399818</v>
      </c>
    </row>
    <row r="67" spans="1:10" x14ac:dyDescent="0.25">
      <c r="A67" s="405">
        <v>20</v>
      </c>
      <c r="B67" s="55" t="s">
        <v>67</v>
      </c>
      <c r="C67" s="404" t="s">
        <v>23</v>
      </c>
      <c r="D67" s="61">
        <v>1</v>
      </c>
      <c r="E67" s="242">
        <v>43482</v>
      </c>
      <c r="F67" s="187">
        <f t="shared" si="2"/>
        <v>43482</v>
      </c>
    </row>
    <row r="68" spans="1:10" x14ac:dyDescent="0.25">
      <c r="A68" s="405">
        <v>21</v>
      </c>
      <c r="B68" s="55" t="s">
        <v>42</v>
      </c>
      <c r="C68" s="404" t="s">
        <v>23</v>
      </c>
      <c r="D68" s="61">
        <v>4</v>
      </c>
      <c r="E68" s="242">
        <v>90312</v>
      </c>
      <c r="F68" s="187">
        <f t="shared" si="2"/>
        <v>361248</v>
      </c>
    </row>
    <row r="69" spans="1:10" x14ac:dyDescent="0.25">
      <c r="A69" s="405">
        <v>22</v>
      </c>
      <c r="B69" s="18" t="s">
        <v>43</v>
      </c>
      <c r="C69" s="20"/>
      <c r="D69" s="20"/>
      <c r="E69" s="242" t="s">
        <v>1</v>
      </c>
      <c r="F69" s="187" t="s">
        <v>1</v>
      </c>
    </row>
    <row r="70" spans="1:10" x14ac:dyDescent="0.25">
      <c r="A70" s="405">
        <v>23</v>
      </c>
      <c r="B70" s="55" t="s">
        <v>44</v>
      </c>
      <c r="C70" s="404" t="s">
        <v>64</v>
      </c>
      <c r="D70" s="61">
        <v>6</v>
      </c>
      <c r="E70" s="242">
        <v>120657</v>
      </c>
      <c r="F70" s="187">
        <f t="shared" si="2"/>
        <v>723942</v>
      </c>
    </row>
    <row r="71" spans="1:10" ht="29.25" x14ac:dyDescent="0.25">
      <c r="A71" s="405">
        <v>24</v>
      </c>
      <c r="B71" s="406" t="s">
        <v>45</v>
      </c>
      <c r="C71" s="404" t="s">
        <v>64</v>
      </c>
      <c r="D71" s="61">
        <v>72</v>
      </c>
      <c r="E71" s="242">
        <v>22131</v>
      </c>
      <c r="F71" s="187">
        <f t="shared" si="2"/>
        <v>1593432</v>
      </c>
    </row>
    <row r="72" spans="1:10" x14ac:dyDescent="0.25">
      <c r="A72" s="405">
        <v>25</v>
      </c>
      <c r="B72" s="55" t="s">
        <v>47</v>
      </c>
      <c r="C72" s="404" t="s">
        <v>64</v>
      </c>
      <c r="D72" s="61">
        <v>1</v>
      </c>
      <c r="E72" s="242">
        <v>87500</v>
      </c>
      <c r="F72" s="187">
        <f t="shared" si="2"/>
        <v>87500</v>
      </c>
    </row>
    <row r="73" spans="1:10" x14ac:dyDescent="0.25">
      <c r="A73" s="405">
        <v>26</v>
      </c>
      <c r="B73" s="18" t="s">
        <v>48</v>
      </c>
      <c r="C73" s="20"/>
      <c r="D73" s="20"/>
      <c r="E73" s="242" t="s">
        <v>1</v>
      </c>
      <c r="F73" s="187" t="s">
        <v>1</v>
      </c>
    </row>
    <row r="74" spans="1:10" ht="29.25" x14ac:dyDescent="0.25">
      <c r="A74" s="405">
        <v>27</v>
      </c>
      <c r="B74" s="406" t="s">
        <v>49</v>
      </c>
      <c r="C74" s="404" t="s">
        <v>64</v>
      </c>
      <c r="D74" s="61">
        <v>0.5</v>
      </c>
      <c r="E74" s="242">
        <v>605480</v>
      </c>
      <c r="F74" s="187">
        <f t="shared" si="2"/>
        <v>302740</v>
      </c>
    </row>
    <row r="75" spans="1:10" ht="29.25" x14ac:dyDescent="0.25">
      <c r="A75" s="405">
        <v>28</v>
      </c>
      <c r="B75" s="406" t="s">
        <v>50</v>
      </c>
      <c r="C75" s="404" t="s">
        <v>64</v>
      </c>
      <c r="D75" s="61">
        <v>1</v>
      </c>
      <c r="E75" s="242">
        <v>822268</v>
      </c>
      <c r="F75" s="187">
        <f t="shared" si="2"/>
        <v>822268</v>
      </c>
    </row>
    <row r="76" spans="1:10" x14ac:dyDescent="0.25">
      <c r="A76" s="405">
        <v>29</v>
      </c>
      <c r="B76" s="18" t="s">
        <v>51</v>
      </c>
      <c r="C76" s="20"/>
      <c r="D76" s="20"/>
      <c r="E76" s="242" t="s">
        <v>1</v>
      </c>
      <c r="F76" s="187" t="s">
        <v>1</v>
      </c>
    </row>
    <row r="77" spans="1:10" x14ac:dyDescent="0.25">
      <c r="A77" s="405">
        <v>30</v>
      </c>
      <c r="B77" s="55" t="s">
        <v>52</v>
      </c>
      <c r="C77" s="404" t="s">
        <v>53</v>
      </c>
      <c r="D77" s="61">
        <v>36</v>
      </c>
      <c r="E77" s="242">
        <v>5922</v>
      </c>
      <c r="F77" s="187">
        <f t="shared" si="2"/>
        <v>213192</v>
      </c>
      <c r="J77" s="80"/>
    </row>
    <row r="78" spans="1:10" x14ac:dyDescent="0.25">
      <c r="A78" s="403"/>
      <c r="B78" s="18" t="s">
        <v>56</v>
      </c>
      <c r="C78" s="54"/>
      <c r="D78" s="130"/>
      <c r="E78" s="28"/>
      <c r="F78" s="79">
        <f>SUM(F48:F77)</f>
        <v>19996470</v>
      </c>
    </row>
    <row r="79" spans="1:10" x14ac:dyDescent="0.25">
      <c r="A79" s="19"/>
      <c r="B79" s="19" t="s">
        <v>60</v>
      </c>
      <c r="C79" s="19"/>
      <c r="D79" s="19"/>
      <c r="E79" s="19"/>
      <c r="F79" s="29">
        <f>ROUND(F78/1.3495,0)</f>
        <v>14817688</v>
      </c>
    </row>
    <row r="80" spans="1:10" x14ac:dyDescent="0.25">
      <c r="A80" s="19"/>
      <c r="B80" s="19" t="s">
        <v>61</v>
      </c>
      <c r="C80" s="131">
        <v>0.24</v>
      </c>
      <c r="D80" s="19"/>
      <c r="E80" s="19"/>
      <c r="F80" s="29">
        <f>ROUND(F79*C80,0)</f>
        <v>3556245</v>
      </c>
    </row>
    <row r="81" spans="1:6" x14ac:dyDescent="0.25">
      <c r="A81" s="19"/>
      <c r="B81" s="19" t="s">
        <v>57</v>
      </c>
      <c r="C81" s="131">
        <v>0.05</v>
      </c>
      <c r="D81" s="19"/>
      <c r="E81" s="19"/>
      <c r="F81" s="29">
        <f>ROUND(F79*C81,0)</f>
        <v>740884</v>
      </c>
    </row>
    <row r="82" spans="1:6" x14ac:dyDescent="0.25">
      <c r="A82" s="19"/>
      <c r="B82" s="19" t="s">
        <v>62</v>
      </c>
      <c r="C82" s="131">
        <v>0.05</v>
      </c>
      <c r="D82" s="19"/>
      <c r="E82" s="19"/>
      <c r="F82" s="29">
        <f>ROUND(F79*C82,0)</f>
        <v>740884</v>
      </c>
    </row>
    <row r="83" spans="1:6" x14ac:dyDescent="0.25">
      <c r="A83" s="19"/>
      <c r="B83" s="132" t="s">
        <v>63</v>
      </c>
      <c r="C83" s="133">
        <v>0.19</v>
      </c>
      <c r="D83" s="120"/>
      <c r="E83" s="120"/>
      <c r="F83" s="35">
        <f>ROUND(F82*19%,0)</f>
        <v>140768</v>
      </c>
    </row>
    <row r="84" spans="1:6" x14ac:dyDescent="0.25">
      <c r="A84" s="19"/>
      <c r="B84" s="18" t="s">
        <v>56</v>
      </c>
      <c r="C84" s="19"/>
      <c r="D84" s="19"/>
      <c r="E84" s="19"/>
      <c r="F84" s="30">
        <f>SUM(F79:F83)</f>
        <v>19996469</v>
      </c>
    </row>
    <row r="86" spans="1:6" x14ac:dyDescent="0.25">
      <c r="A86" s="422" t="s">
        <v>726</v>
      </c>
      <c r="B86" s="422"/>
      <c r="C86" s="422"/>
      <c r="D86" s="422"/>
      <c r="E86" s="422"/>
      <c r="F86" s="422"/>
    </row>
    <row r="87" spans="1:6" x14ac:dyDescent="0.25">
      <c r="A87" s="420" t="s">
        <v>10</v>
      </c>
      <c r="B87" s="420" t="s">
        <v>0</v>
      </c>
      <c r="C87" s="420" t="s">
        <v>11</v>
      </c>
      <c r="D87" s="420" t="s">
        <v>12</v>
      </c>
      <c r="E87" s="420"/>
      <c r="F87" s="420"/>
    </row>
    <row r="88" spans="1:6" x14ac:dyDescent="0.25">
      <c r="A88" s="420"/>
      <c r="B88" s="420"/>
      <c r="C88" s="420"/>
      <c r="D88" s="54" t="s">
        <v>13</v>
      </c>
      <c r="E88" s="54" t="s">
        <v>14</v>
      </c>
      <c r="F88" s="54" t="s">
        <v>15</v>
      </c>
    </row>
    <row r="89" spans="1:6" x14ac:dyDescent="0.25">
      <c r="A89" s="405">
        <v>1</v>
      </c>
      <c r="B89" s="18" t="s">
        <v>16</v>
      </c>
      <c r="C89" s="420"/>
      <c r="D89" s="420"/>
      <c r="E89" s="420"/>
      <c r="F89" s="20"/>
    </row>
    <row r="90" spans="1:6" ht="29.25" x14ac:dyDescent="0.25">
      <c r="A90" s="405">
        <v>2</v>
      </c>
      <c r="B90" s="406" t="s">
        <v>17</v>
      </c>
      <c r="C90" s="405" t="s">
        <v>18</v>
      </c>
      <c r="D90" s="31">
        <v>42</v>
      </c>
      <c r="E90" s="59">
        <v>5214</v>
      </c>
      <c r="F90" s="187">
        <f t="shared" ref="F90:F117" si="3">ROUND(D90*E90,0)</f>
        <v>218988</v>
      </c>
    </row>
    <row r="91" spans="1:6" ht="29.25" x14ac:dyDescent="0.25">
      <c r="A91" s="405">
        <v>4</v>
      </c>
      <c r="B91" s="406" t="s">
        <v>21</v>
      </c>
      <c r="C91" s="405" t="s">
        <v>18</v>
      </c>
      <c r="D91" s="31">
        <v>96</v>
      </c>
      <c r="E91" s="59">
        <v>13608</v>
      </c>
      <c r="F91" s="187">
        <f t="shared" si="3"/>
        <v>1306368</v>
      </c>
    </row>
    <row r="92" spans="1:6" x14ac:dyDescent="0.25">
      <c r="A92" s="405">
        <v>5</v>
      </c>
      <c r="B92" s="406" t="s">
        <v>22</v>
      </c>
      <c r="C92" s="336" t="s">
        <v>23</v>
      </c>
      <c r="D92" s="337">
        <v>2</v>
      </c>
      <c r="E92" s="338">
        <v>155349</v>
      </c>
      <c r="F92" s="339">
        <f t="shared" si="3"/>
        <v>310698</v>
      </c>
    </row>
    <row r="93" spans="1:6" x14ac:dyDescent="0.25">
      <c r="A93" s="405">
        <f>A92+1</f>
        <v>6</v>
      </c>
      <c r="B93" s="188" t="s">
        <v>25</v>
      </c>
      <c r="C93" s="340"/>
      <c r="D93" s="340"/>
      <c r="E93" s="338" t="s">
        <v>1</v>
      </c>
      <c r="F93" s="339" t="s">
        <v>1</v>
      </c>
    </row>
    <row r="94" spans="1:6" x14ac:dyDescent="0.25">
      <c r="A94" s="405">
        <f t="shared" ref="A94:A117" si="4">A93+1</f>
        <v>7</v>
      </c>
      <c r="B94" s="56" t="s">
        <v>26</v>
      </c>
      <c r="C94" s="336" t="s">
        <v>18</v>
      </c>
      <c r="D94" s="337">
        <v>116</v>
      </c>
      <c r="E94" s="338">
        <v>7630</v>
      </c>
      <c r="F94" s="339">
        <f t="shared" si="3"/>
        <v>885080</v>
      </c>
    </row>
    <row r="95" spans="1:6" ht="43.5" x14ac:dyDescent="0.25">
      <c r="A95" s="405">
        <f t="shared" si="4"/>
        <v>8</v>
      </c>
      <c r="B95" s="406" t="s">
        <v>27</v>
      </c>
      <c r="C95" s="336" t="s">
        <v>64</v>
      </c>
      <c r="D95" s="337">
        <v>9</v>
      </c>
      <c r="E95" s="338">
        <v>83312</v>
      </c>
      <c r="F95" s="339">
        <f t="shared" si="3"/>
        <v>749808</v>
      </c>
    </row>
    <row r="96" spans="1:6" x14ac:dyDescent="0.25">
      <c r="A96" s="405">
        <f t="shared" si="4"/>
        <v>9</v>
      </c>
      <c r="B96" s="18" t="s">
        <v>28</v>
      </c>
      <c r="C96" s="340"/>
      <c r="D96" s="340"/>
      <c r="E96" s="338"/>
      <c r="F96" s="339"/>
    </row>
    <row r="97" spans="1:6" x14ac:dyDescent="0.25">
      <c r="A97" s="405">
        <f t="shared" si="4"/>
        <v>10</v>
      </c>
      <c r="B97" s="406" t="s">
        <v>29</v>
      </c>
      <c r="C97" s="336" t="s">
        <v>64</v>
      </c>
      <c r="D97" s="337">
        <v>86</v>
      </c>
      <c r="E97" s="338">
        <v>26317</v>
      </c>
      <c r="F97" s="339">
        <f t="shared" si="3"/>
        <v>2263262</v>
      </c>
    </row>
    <row r="98" spans="1:6" x14ac:dyDescent="0.25">
      <c r="A98" s="405">
        <f t="shared" si="4"/>
        <v>11</v>
      </c>
      <c r="B98" s="406" t="s">
        <v>31</v>
      </c>
      <c r="C98" s="336" t="s">
        <v>18</v>
      </c>
      <c r="D98" s="337">
        <v>10</v>
      </c>
      <c r="E98" s="338">
        <v>31128</v>
      </c>
      <c r="F98" s="339">
        <f t="shared" si="3"/>
        <v>311280</v>
      </c>
    </row>
    <row r="99" spans="1:6" ht="29.25" x14ac:dyDescent="0.25">
      <c r="A99" s="405">
        <f t="shared" si="4"/>
        <v>12</v>
      </c>
      <c r="B99" s="406" t="s">
        <v>32</v>
      </c>
      <c r="C99" s="336" t="s">
        <v>64</v>
      </c>
      <c r="D99" s="337">
        <v>36</v>
      </c>
      <c r="E99" s="338">
        <v>32749</v>
      </c>
      <c r="F99" s="339">
        <f t="shared" si="3"/>
        <v>1178964</v>
      </c>
    </row>
    <row r="100" spans="1:6" ht="30" x14ac:dyDescent="0.25">
      <c r="A100" s="405">
        <f t="shared" si="4"/>
        <v>13</v>
      </c>
      <c r="B100" s="188" t="s">
        <v>33</v>
      </c>
      <c r="C100" s="340"/>
      <c r="D100" s="340"/>
      <c r="E100" s="338"/>
      <c r="F100" s="339"/>
    </row>
    <row r="101" spans="1:6" ht="29.25" x14ac:dyDescent="0.25">
      <c r="A101" s="405">
        <f t="shared" si="4"/>
        <v>14</v>
      </c>
      <c r="B101" s="406" t="s">
        <v>66</v>
      </c>
      <c r="C101" s="336" t="s">
        <v>18</v>
      </c>
      <c r="D101" s="337">
        <v>42</v>
      </c>
      <c r="E101" s="338">
        <v>23781</v>
      </c>
      <c r="F101" s="339">
        <f t="shared" si="3"/>
        <v>998802</v>
      </c>
    </row>
    <row r="102" spans="1:6" ht="57" x14ac:dyDescent="0.25">
      <c r="A102" s="405">
        <f t="shared" si="4"/>
        <v>15</v>
      </c>
      <c r="B102" s="57" t="s">
        <v>35</v>
      </c>
      <c r="C102" s="336" t="s">
        <v>18</v>
      </c>
      <c r="D102" s="337">
        <v>6</v>
      </c>
      <c r="E102" s="338">
        <v>637411</v>
      </c>
      <c r="F102" s="339">
        <f t="shared" si="3"/>
        <v>3824466</v>
      </c>
    </row>
    <row r="103" spans="1:6" ht="43.5" x14ac:dyDescent="0.25">
      <c r="A103" s="405">
        <f t="shared" si="4"/>
        <v>16</v>
      </c>
      <c r="B103" s="406" t="s">
        <v>276</v>
      </c>
      <c r="C103" s="405" t="s">
        <v>37</v>
      </c>
      <c r="D103" s="31">
        <v>3</v>
      </c>
      <c r="E103" s="59">
        <v>777600</v>
      </c>
      <c r="F103" s="187">
        <f t="shared" si="3"/>
        <v>2332800</v>
      </c>
    </row>
    <row r="104" spans="1:6" x14ac:dyDescent="0.25">
      <c r="A104" s="405">
        <f t="shared" si="4"/>
        <v>17</v>
      </c>
      <c r="B104" s="280" t="s">
        <v>38</v>
      </c>
      <c r="C104" s="405" t="s">
        <v>37</v>
      </c>
      <c r="D104" s="31">
        <v>3</v>
      </c>
      <c r="E104" s="59">
        <v>540447</v>
      </c>
      <c r="F104" s="187">
        <f t="shared" si="3"/>
        <v>1621341</v>
      </c>
    </row>
    <row r="105" spans="1:6" ht="29.25" x14ac:dyDescent="0.25">
      <c r="A105" s="405">
        <f t="shared" si="4"/>
        <v>18</v>
      </c>
      <c r="B105" s="406" t="s">
        <v>39</v>
      </c>
      <c r="C105" s="405" t="s">
        <v>18</v>
      </c>
      <c r="D105" s="31">
        <v>16</v>
      </c>
      <c r="E105" s="59">
        <v>13802</v>
      </c>
      <c r="F105" s="187">
        <f t="shared" si="3"/>
        <v>220832</v>
      </c>
    </row>
    <row r="106" spans="1:6" ht="43.5" x14ac:dyDescent="0.25">
      <c r="A106" s="405">
        <f t="shared" si="4"/>
        <v>19</v>
      </c>
      <c r="B106" s="406" t="s">
        <v>75</v>
      </c>
      <c r="C106" s="405" t="s">
        <v>23</v>
      </c>
      <c r="D106" s="31">
        <v>4</v>
      </c>
      <c r="E106" s="59">
        <v>399818</v>
      </c>
      <c r="F106" s="187">
        <f t="shared" si="3"/>
        <v>1599272</v>
      </c>
    </row>
    <row r="107" spans="1:6" x14ac:dyDescent="0.25">
      <c r="A107" s="405">
        <f t="shared" si="4"/>
        <v>20</v>
      </c>
      <c r="B107" s="406" t="s">
        <v>67</v>
      </c>
      <c r="C107" s="404" t="s">
        <v>23</v>
      </c>
      <c r="D107" s="61">
        <v>16</v>
      </c>
      <c r="E107" s="242">
        <v>43482</v>
      </c>
      <c r="F107" s="187">
        <f t="shared" si="3"/>
        <v>695712</v>
      </c>
    </row>
    <row r="108" spans="1:6" x14ac:dyDescent="0.25">
      <c r="A108" s="405">
        <f t="shared" si="4"/>
        <v>21</v>
      </c>
      <c r="B108" s="406" t="s">
        <v>42</v>
      </c>
      <c r="C108" s="404" t="s">
        <v>23</v>
      </c>
      <c r="D108" s="61">
        <v>4</v>
      </c>
      <c r="E108" s="242">
        <v>90312</v>
      </c>
      <c r="F108" s="187">
        <f t="shared" si="3"/>
        <v>361248</v>
      </c>
    </row>
    <row r="109" spans="1:6" x14ac:dyDescent="0.25">
      <c r="A109" s="405">
        <f t="shared" si="4"/>
        <v>22</v>
      </c>
      <c r="B109" s="188" t="s">
        <v>43</v>
      </c>
      <c r="C109" s="20"/>
      <c r="D109" s="20"/>
      <c r="E109" s="242" t="s">
        <v>1</v>
      </c>
      <c r="F109" s="187" t="s">
        <v>1</v>
      </c>
    </row>
    <row r="110" spans="1:6" x14ac:dyDescent="0.25">
      <c r="A110" s="405">
        <f t="shared" si="4"/>
        <v>23</v>
      </c>
      <c r="B110" s="406" t="s">
        <v>44</v>
      </c>
      <c r="C110" s="404" t="s">
        <v>64</v>
      </c>
      <c r="D110" s="61">
        <v>6</v>
      </c>
      <c r="E110" s="242">
        <v>120657</v>
      </c>
      <c r="F110" s="187">
        <f t="shared" si="3"/>
        <v>723942</v>
      </c>
    </row>
    <row r="111" spans="1:6" ht="29.25" x14ac:dyDescent="0.25">
      <c r="A111" s="405">
        <f t="shared" si="4"/>
        <v>24</v>
      </c>
      <c r="B111" s="406" t="s">
        <v>45</v>
      </c>
      <c r="C111" s="404" t="s">
        <v>64</v>
      </c>
      <c r="D111" s="61">
        <v>58</v>
      </c>
      <c r="E111" s="242">
        <v>22131</v>
      </c>
      <c r="F111" s="187">
        <f t="shared" si="3"/>
        <v>1283598</v>
      </c>
    </row>
    <row r="112" spans="1:6" x14ac:dyDescent="0.25">
      <c r="A112" s="405">
        <f t="shared" si="4"/>
        <v>25</v>
      </c>
      <c r="B112" s="406" t="s">
        <v>46</v>
      </c>
      <c r="C112" s="404" t="s">
        <v>64</v>
      </c>
      <c r="D112" s="61">
        <v>13</v>
      </c>
      <c r="E112" s="242">
        <v>144847</v>
      </c>
      <c r="F112" s="187">
        <f t="shared" si="3"/>
        <v>1883011</v>
      </c>
    </row>
    <row r="113" spans="1:6" x14ac:dyDescent="0.25">
      <c r="A113" s="405">
        <f t="shared" si="4"/>
        <v>26</v>
      </c>
      <c r="B113" s="18" t="s">
        <v>48</v>
      </c>
      <c r="C113" s="20"/>
      <c r="D113" s="20"/>
      <c r="E113" s="242" t="s">
        <v>1</v>
      </c>
      <c r="F113" s="187" t="s">
        <v>1</v>
      </c>
    </row>
    <row r="114" spans="1:6" ht="29.25" x14ac:dyDescent="0.25">
      <c r="A114" s="405">
        <f t="shared" si="4"/>
        <v>27</v>
      </c>
      <c r="B114" s="406" t="s">
        <v>49</v>
      </c>
      <c r="C114" s="404" t="s">
        <v>64</v>
      </c>
      <c r="D114" s="61">
        <v>1</v>
      </c>
      <c r="E114" s="242">
        <v>605480</v>
      </c>
      <c r="F114" s="187">
        <f t="shared" si="3"/>
        <v>605480</v>
      </c>
    </row>
    <row r="115" spans="1:6" ht="29.25" x14ac:dyDescent="0.25">
      <c r="A115" s="405">
        <f t="shared" si="4"/>
        <v>28</v>
      </c>
      <c r="B115" s="406" t="s">
        <v>50</v>
      </c>
      <c r="C115" s="404" t="s">
        <v>64</v>
      </c>
      <c r="D115" s="61">
        <v>9</v>
      </c>
      <c r="E115" s="242">
        <v>822268</v>
      </c>
      <c r="F115" s="187">
        <f t="shared" si="3"/>
        <v>7400412</v>
      </c>
    </row>
    <row r="116" spans="1:6" x14ac:dyDescent="0.25">
      <c r="A116" s="405">
        <f t="shared" si="4"/>
        <v>29</v>
      </c>
      <c r="B116" s="188" t="s">
        <v>51</v>
      </c>
      <c r="C116" s="20"/>
      <c r="D116" s="20"/>
      <c r="E116" s="242" t="s">
        <v>1</v>
      </c>
      <c r="F116" s="187" t="s">
        <v>1</v>
      </c>
    </row>
    <row r="117" spans="1:6" x14ac:dyDescent="0.25">
      <c r="A117" s="405">
        <f t="shared" si="4"/>
        <v>30</v>
      </c>
      <c r="B117" s="406" t="s">
        <v>52</v>
      </c>
      <c r="C117" s="404" t="s">
        <v>53</v>
      </c>
      <c r="D117" s="61">
        <v>60</v>
      </c>
      <c r="E117" s="242">
        <v>5922</v>
      </c>
      <c r="F117" s="187">
        <f t="shared" si="3"/>
        <v>355320</v>
      </c>
    </row>
    <row r="118" spans="1:6" x14ac:dyDescent="0.25">
      <c r="A118" s="403"/>
      <c r="B118" s="18" t="s">
        <v>56</v>
      </c>
      <c r="C118" s="54"/>
      <c r="D118" s="130"/>
      <c r="E118" s="28"/>
      <c r="F118" s="79">
        <f>SUM(F89:F117)</f>
        <v>31130684</v>
      </c>
    </row>
    <row r="119" spans="1:6" x14ac:dyDescent="0.25">
      <c r="A119" s="19"/>
      <c r="B119" s="19" t="s">
        <v>60</v>
      </c>
      <c r="C119" s="19"/>
      <c r="D119" s="19"/>
      <c r="E119" s="19"/>
      <c r="F119" s="29">
        <f>ROUND(F118/1.3495,0)</f>
        <v>23068310</v>
      </c>
    </row>
    <row r="120" spans="1:6" x14ac:dyDescent="0.25">
      <c r="A120" s="19"/>
      <c r="B120" s="19" t="s">
        <v>61</v>
      </c>
      <c r="C120" s="131">
        <v>0.24</v>
      </c>
      <c r="D120" s="19"/>
      <c r="E120" s="19"/>
      <c r="F120" s="29">
        <f>ROUND(F119*C120,0)</f>
        <v>5536394</v>
      </c>
    </row>
    <row r="121" spans="1:6" x14ac:dyDescent="0.25">
      <c r="A121" s="19"/>
      <c r="B121" s="19" t="s">
        <v>57</v>
      </c>
      <c r="C121" s="131">
        <v>0.05</v>
      </c>
      <c r="D121" s="19"/>
      <c r="E121" s="19"/>
      <c r="F121" s="29">
        <f>ROUND(F119*C121,0)</f>
        <v>1153416</v>
      </c>
    </row>
    <row r="122" spans="1:6" x14ac:dyDescent="0.25">
      <c r="A122" s="19"/>
      <c r="B122" s="19" t="s">
        <v>62</v>
      </c>
      <c r="C122" s="131">
        <v>0.05</v>
      </c>
      <c r="D122" s="19"/>
      <c r="E122" s="19"/>
      <c r="F122" s="29">
        <f>ROUND(F119*C122,0)</f>
        <v>1153416</v>
      </c>
    </row>
    <row r="123" spans="1:6" x14ac:dyDescent="0.25">
      <c r="A123" s="19"/>
      <c r="B123" s="132" t="s">
        <v>63</v>
      </c>
      <c r="C123" s="133">
        <v>0.19</v>
      </c>
      <c r="D123" s="120"/>
      <c r="E123" s="120"/>
      <c r="F123" s="35">
        <f>ROUND(F122*19%,0)</f>
        <v>219149</v>
      </c>
    </row>
    <row r="124" spans="1:6" x14ac:dyDescent="0.25">
      <c r="A124" s="19"/>
      <c r="B124" s="18" t="s">
        <v>56</v>
      </c>
      <c r="C124" s="19"/>
      <c r="D124" s="19"/>
      <c r="E124" s="19"/>
      <c r="F124" s="30">
        <f>SUM(F119:F123)</f>
        <v>31130685</v>
      </c>
    </row>
    <row r="126" spans="1:6" x14ac:dyDescent="0.25">
      <c r="A126" s="422" t="s">
        <v>727</v>
      </c>
      <c r="B126" s="422"/>
      <c r="C126" s="422"/>
      <c r="D126" s="422"/>
      <c r="E126" s="422"/>
      <c r="F126" s="422"/>
    </row>
    <row r="127" spans="1:6" x14ac:dyDescent="0.25">
      <c r="A127" s="420" t="s">
        <v>10</v>
      </c>
      <c r="B127" s="420" t="s">
        <v>0</v>
      </c>
      <c r="C127" s="420" t="s">
        <v>11</v>
      </c>
      <c r="D127" s="420" t="s">
        <v>12</v>
      </c>
      <c r="E127" s="420"/>
      <c r="F127" s="420"/>
    </row>
    <row r="128" spans="1:6" x14ac:dyDescent="0.25">
      <c r="A128" s="420"/>
      <c r="B128" s="420"/>
      <c r="C128" s="420"/>
      <c r="D128" s="54" t="s">
        <v>13</v>
      </c>
      <c r="E128" s="54" t="s">
        <v>14</v>
      </c>
      <c r="F128" s="54" t="s">
        <v>15</v>
      </c>
    </row>
    <row r="129" spans="1:6" x14ac:dyDescent="0.25">
      <c r="A129" s="405">
        <f t="shared" ref="A129:A157" si="5">A128+1</f>
        <v>1</v>
      </c>
      <c r="B129" s="18" t="s">
        <v>16</v>
      </c>
      <c r="C129" s="420"/>
      <c r="D129" s="420"/>
      <c r="E129" s="420"/>
      <c r="F129" s="20"/>
    </row>
    <row r="130" spans="1:6" ht="29.25" x14ac:dyDescent="0.25">
      <c r="A130" s="405">
        <f t="shared" si="5"/>
        <v>2</v>
      </c>
      <c r="B130" s="406" t="s">
        <v>17</v>
      </c>
      <c r="C130" s="404" t="s">
        <v>18</v>
      </c>
      <c r="D130" s="31">
        <v>90</v>
      </c>
      <c r="E130" s="59">
        <v>5214</v>
      </c>
      <c r="F130" s="187">
        <f t="shared" ref="F130:F157" si="6">ROUND(D130*E130,0)</f>
        <v>469260</v>
      </c>
    </row>
    <row r="131" spans="1:6" ht="29.25" x14ac:dyDescent="0.25">
      <c r="A131" s="405">
        <f>A130+1</f>
        <v>3</v>
      </c>
      <c r="B131" s="406" t="s">
        <v>21</v>
      </c>
      <c r="C131" s="404" t="s">
        <v>18</v>
      </c>
      <c r="D131" s="31">
        <v>192</v>
      </c>
      <c r="E131" s="59">
        <v>13608</v>
      </c>
      <c r="F131" s="187">
        <f t="shared" si="6"/>
        <v>2612736</v>
      </c>
    </row>
    <row r="132" spans="1:6" x14ac:dyDescent="0.25">
      <c r="A132" s="405">
        <f t="shared" si="5"/>
        <v>4</v>
      </c>
      <c r="B132" s="406" t="s">
        <v>22</v>
      </c>
      <c r="C132" s="404" t="s">
        <v>23</v>
      </c>
      <c r="D132" s="31">
        <v>2</v>
      </c>
      <c r="E132" s="59">
        <v>155349</v>
      </c>
      <c r="F132" s="187">
        <f t="shared" si="6"/>
        <v>310698</v>
      </c>
    </row>
    <row r="133" spans="1:6" x14ac:dyDescent="0.25">
      <c r="A133" s="405">
        <f t="shared" si="5"/>
        <v>5</v>
      </c>
      <c r="B133" s="188" t="s">
        <v>25</v>
      </c>
      <c r="C133" s="20"/>
      <c r="D133" s="20"/>
      <c r="E133" s="59" t="s">
        <v>1</v>
      </c>
      <c r="F133" s="187" t="s">
        <v>1</v>
      </c>
    </row>
    <row r="134" spans="1:6" x14ac:dyDescent="0.25">
      <c r="A134" s="405">
        <f t="shared" si="5"/>
        <v>6</v>
      </c>
      <c r="B134" s="56" t="s">
        <v>26</v>
      </c>
      <c r="C134" s="404" t="s">
        <v>18</v>
      </c>
      <c r="D134" s="31">
        <v>348</v>
      </c>
      <c r="E134" s="59">
        <v>7630</v>
      </c>
      <c r="F134" s="187">
        <f t="shared" si="6"/>
        <v>2655240</v>
      </c>
    </row>
    <row r="135" spans="1:6" ht="43.5" x14ac:dyDescent="0.25">
      <c r="A135" s="405">
        <f t="shared" si="5"/>
        <v>7</v>
      </c>
      <c r="B135" s="406" t="s">
        <v>27</v>
      </c>
      <c r="C135" s="404" t="s">
        <v>64</v>
      </c>
      <c r="D135" s="31">
        <v>26</v>
      </c>
      <c r="E135" s="59">
        <v>83312</v>
      </c>
      <c r="F135" s="187">
        <f t="shared" si="6"/>
        <v>2166112</v>
      </c>
    </row>
    <row r="136" spans="1:6" x14ac:dyDescent="0.25">
      <c r="A136" s="405">
        <f t="shared" si="5"/>
        <v>8</v>
      </c>
      <c r="B136" s="18" t="s">
        <v>28</v>
      </c>
      <c r="C136" s="20"/>
      <c r="D136" s="20"/>
      <c r="E136" s="59" t="s">
        <v>1</v>
      </c>
      <c r="F136" s="187" t="s">
        <v>1</v>
      </c>
    </row>
    <row r="137" spans="1:6" x14ac:dyDescent="0.25">
      <c r="A137" s="405">
        <f t="shared" si="5"/>
        <v>9</v>
      </c>
      <c r="B137" s="406" t="s">
        <v>29</v>
      </c>
      <c r="C137" s="404" t="s">
        <v>64</v>
      </c>
      <c r="D137" s="31">
        <v>258</v>
      </c>
      <c r="E137" s="59">
        <v>26317</v>
      </c>
      <c r="F137" s="187">
        <f t="shared" si="6"/>
        <v>6789786</v>
      </c>
    </row>
    <row r="138" spans="1:6" x14ac:dyDescent="0.25">
      <c r="A138" s="405">
        <f t="shared" si="5"/>
        <v>10</v>
      </c>
      <c r="B138" s="406" t="s">
        <v>31</v>
      </c>
      <c r="C138" s="404" t="s">
        <v>18</v>
      </c>
      <c r="D138" s="61">
        <v>20</v>
      </c>
      <c r="E138" s="242">
        <v>31128</v>
      </c>
      <c r="F138" s="187">
        <f t="shared" si="6"/>
        <v>622560</v>
      </c>
    </row>
    <row r="139" spans="1:6" ht="29.25" x14ac:dyDescent="0.25">
      <c r="A139" s="405">
        <f t="shared" si="5"/>
        <v>11</v>
      </c>
      <c r="B139" s="406" t="s">
        <v>32</v>
      </c>
      <c r="C139" s="404" t="s">
        <v>64</v>
      </c>
      <c r="D139" s="61">
        <v>86</v>
      </c>
      <c r="E139" s="242">
        <v>32749</v>
      </c>
      <c r="F139" s="187">
        <f t="shared" si="6"/>
        <v>2816414</v>
      </c>
    </row>
    <row r="140" spans="1:6" ht="30" x14ac:dyDescent="0.25">
      <c r="A140" s="405">
        <f t="shared" si="5"/>
        <v>12</v>
      </c>
      <c r="B140" s="188" t="s">
        <v>33</v>
      </c>
      <c r="C140" s="20"/>
      <c r="D140" s="20"/>
      <c r="E140" s="242" t="s">
        <v>1</v>
      </c>
      <c r="F140" s="187" t="s">
        <v>1</v>
      </c>
    </row>
    <row r="141" spans="1:6" ht="29.25" x14ac:dyDescent="0.25">
      <c r="A141" s="405">
        <f t="shared" si="5"/>
        <v>13</v>
      </c>
      <c r="B141" s="406" t="s">
        <v>66</v>
      </c>
      <c r="C141" s="405" t="s">
        <v>18</v>
      </c>
      <c r="D141" s="31">
        <v>90</v>
      </c>
      <c r="E141" s="59">
        <v>23781</v>
      </c>
      <c r="F141" s="187">
        <f t="shared" si="6"/>
        <v>2140290</v>
      </c>
    </row>
    <row r="142" spans="1:6" ht="57" x14ac:dyDescent="0.25">
      <c r="A142" s="405">
        <f t="shared" si="5"/>
        <v>14</v>
      </c>
      <c r="B142" s="57" t="s">
        <v>35</v>
      </c>
      <c r="C142" s="405" t="s">
        <v>18</v>
      </c>
      <c r="D142" s="31">
        <v>2</v>
      </c>
      <c r="E142" s="59">
        <v>637411</v>
      </c>
      <c r="F142" s="187">
        <f t="shared" si="6"/>
        <v>1274822</v>
      </c>
    </row>
    <row r="143" spans="1:6" ht="43.5" x14ac:dyDescent="0.25">
      <c r="A143" s="405">
        <f t="shared" si="5"/>
        <v>15</v>
      </c>
      <c r="B143" s="406" t="s">
        <v>276</v>
      </c>
      <c r="C143" s="405" t="s">
        <v>37</v>
      </c>
      <c r="D143" s="31">
        <v>2</v>
      </c>
      <c r="E143" s="59">
        <v>777600</v>
      </c>
      <c r="F143" s="187">
        <f t="shared" si="6"/>
        <v>1555200</v>
      </c>
    </row>
    <row r="144" spans="1:6" x14ac:dyDescent="0.25">
      <c r="A144" s="405">
        <f t="shared" si="5"/>
        <v>16</v>
      </c>
      <c r="B144" s="406" t="s">
        <v>38</v>
      </c>
      <c r="C144" s="405" t="s">
        <v>37</v>
      </c>
      <c r="D144" s="31">
        <v>2</v>
      </c>
      <c r="E144" s="59">
        <v>540447</v>
      </c>
      <c r="F144" s="187">
        <f t="shared" si="6"/>
        <v>1080894</v>
      </c>
    </row>
    <row r="145" spans="1:6" ht="29.25" x14ac:dyDescent="0.25">
      <c r="A145" s="405">
        <f t="shared" si="5"/>
        <v>17</v>
      </c>
      <c r="B145" s="406" t="s">
        <v>39</v>
      </c>
      <c r="C145" s="405" t="s">
        <v>18</v>
      </c>
      <c r="D145" s="31">
        <v>84</v>
      </c>
      <c r="E145" s="59">
        <v>13802</v>
      </c>
      <c r="F145" s="187">
        <f t="shared" si="6"/>
        <v>1159368</v>
      </c>
    </row>
    <row r="146" spans="1:6" ht="43.5" x14ac:dyDescent="0.25">
      <c r="A146" s="405">
        <f t="shared" si="5"/>
        <v>18</v>
      </c>
      <c r="B146" s="406" t="s">
        <v>75</v>
      </c>
      <c r="C146" s="405" t="s">
        <v>23</v>
      </c>
      <c r="D146" s="31">
        <v>14</v>
      </c>
      <c r="E146" s="59">
        <v>399818</v>
      </c>
      <c r="F146" s="187">
        <f t="shared" si="6"/>
        <v>5597452</v>
      </c>
    </row>
    <row r="147" spans="1:6" x14ac:dyDescent="0.25">
      <c r="A147" s="405">
        <f t="shared" si="5"/>
        <v>19</v>
      </c>
      <c r="B147" s="406" t="s">
        <v>67</v>
      </c>
      <c r="C147" s="405" t="s">
        <v>23</v>
      </c>
      <c r="D147" s="31">
        <v>14</v>
      </c>
      <c r="E147" s="59">
        <v>43482</v>
      </c>
      <c r="F147" s="187">
        <f t="shared" si="6"/>
        <v>608748</v>
      </c>
    </row>
    <row r="148" spans="1:6" x14ac:dyDescent="0.25">
      <c r="A148" s="405">
        <f t="shared" si="5"/>
        <v>20</v>
      </c>
      <c r="B148" s="406" t="s">
        <v>42</v>
      </c>
      <c r="C148" s="405" t="s">
        <v>23</v>
      </c>
      <c r="D148" s="31">
        <v>2</v>
      </c>
      <c r="E148" s="59">
        <v>90312</v>
      </c>
      <c r="F148" s="187">
        <f t="shared" si="6"/>
        <v>180624</v>
      </c>
    </row>
    <row r="149" spans="1:6" x14ac:dyDescent="0.25">
      <c r="A149" s="405">
        <f t="shared" si="5"/>
        <v>21</v>
      </c>
      <c r="B149" s="18" t="s">
        <v>43</v>
      </c>
      <c r="C149" s="20"/>
      <c r="D149" s="20"/>
      <c r="E149" s="59" t="s">
        <v>1</v>
      </c>
      <c r="F149" s="187" t="s">
        <v>1</v>
      </c>
    </row>
    <row r="150" spans="1:6" x14ac:dyDescent="0.25">
      <c r="A150" s="405">
        <f t="shared" si="5"/>
        <v>22</v>
      </c>
      <c r="B150" s="406" t="s">
        <v>44</v>
      </c>
      <c r="C150" s="405" t="s">
        <v>64</v>
      </c>
      <c r="D150" s="31">
        <v>17</v>
      </c>
      <c r="E150" s="59">
        <v>120657</v>
      </c>
      <c r="F150" s="187">
        <f t="shared" si="6"/>
        <v>2051169</v>
      </c>
    </row>
    <row r="151" spans="1:6" ht="29.25" x14ac:dyDescent="0.25">
      <c r="A151" s="405">
        <f t="shared" si="5"/>
        <v>23</v>
      </c>
      <c r="B151" s="406" t="s">
        <v>45</v>
      </c>
      <c r="C151" s="405" t="s">
        <v>64</v>
      </c>
      <c r="D151" s="31">
        <v>197</v>
      </c>
      <c r="E151" s="59">
        <v>22131</v>
      </c>
      <c r="F151" s="187">
        <f t="shared" si="6"/>
        <v>4359807</v>
      </c>
    </row>
    <row r="152" spans="1:6" x14ac:dyDescent="0.25">
      <c r="A152" s="405">
        <f t="shared" si="5"/>
        <v>24</v>
      </c>
      <c r="B152" s="406" t="s">
        <v>46</v>
      </c>
      <c r="C152" s="404" t="s">
        <v>64</v>
      </c>
      <c r="D152" s="61">
        <v>35</v>
      </c>
      <c r="E152" s="242">
        <v>144847</v>
      </c>
      <c r="F152" s="187">
        <f t="shared" si="6"/>
        <v>5069645</v>
      </c>
    </row>
    <row r="153" spans="1:6" x14ac:dyDescent="0.25">
      <c r="A153" s="405">
        <f t="shared" si="5"/>
        <v>25</v>
      </c>
      <c r="B153" s="188" t="s">
        <v>48</v>
      </c>
      <c r="C153" s="20"/>
      <c r="D153" s="20"/>
      <c r="E153" s="242">
        <v>0</v>
      </c>
      <c r="F153" s="187">
        <f t="shared" si="6"/>
        <v>0</v>
      </c>
    </row>
    <row r="154" spans="1:6" ht="29.25" x14ac:dyDescent="0.25">
      <c r="A154" s="405">
        <f t="shared" si="5"/>
        <v>26</v>
      </c>
      <c r="B154" s="406" t="s">
        <v>49</v>
      </c>
      <c r="C154" s="404" t="s">
        <v>64</v>
      </c>
      <c r="D154" s="61">
        <v>1</v>
      </c>
      <c r="E154" s="242">
        <v>605480</v>
      </c>
      <c r="F154" s="187">
        <f t="shared" si="6"/>
        <v>605480</v>
      </c>
    </row>
    <row r="155" spans="1:6" ht="29.25" x14ac:dyDescent="0.25">
      <c r="A155" s="405">
        <f t="shared" si="5"/>
        <v>27</v>
      </c>
      <c r="B155" s="406" t="s">
        <v>50</v>
      </c>
      <c r="C155" s="404" t="s">
        <v>64</v>
      </c>
      <c r="D155" s="61">
        <v>26</v>
      </c>
      <c r="E155" s="242">
        <v>822268</v>
      </c>
      <c r="F155" s="187">
        <f t="shared" si="6"/>
        <v>21378968</v>
      </c>
    </row>
    <row r="156" spans="1:6" x14ac:dyDescent="0.25">
      <c r="A156" s="405">
        <f t="shared" si="5"/>
        <v>28</v>
      </c>
      <c r="B156" s="188" t="s">
        <v>51</v>
      </c>
      <c r="C156" s="20"/>
      <c r="D156" s="20"/>
      <c r="E156" s="242" t="s">
        <v>1</v>
      </c>
      <c r="F156" s="187" t="s">
        <v>1</v>
      </c>
    </row>
    <row r="157" spans="1:6" x14ac:dyDescent="0.25">
      <c r="A157" s="405">
        <f t="shared" si="5"/>
        <v>29</v>
      </c>
      <c r="B157" s="406" t="s">
        <v>52</v>
      </c>
      <c r="C157" s="404" t="s">
        <v>53</v>
      </c>
      <c r="D157" s="61">
        <v>36</v>
      </c>
      <c r="E157" s="242">
        <v>5922</v>
      </c>
      <c r="F157" s="187">
        <f t="shared" si="6"/>
        <v>213192</v>
      </c>
    </row>
    <row r="158" spans="1:6" x14ac:dyDescent="0.25">
      <c r="A158" s="403"/>
      <c r="B158" s="188" t="s">
        <v>56</v>
      </c>
      <c r="C158" s="54"/>
      <c r="D158" s="130"/>
      <c r="E158" s="28"/>
      <c r="F158" s="79">
        <f>SUM(F129:F157)</f>
        <v>65718465</v>
      </c>
    </row>
    <row r="159" spans="1:6" x14ac:dyDescent="0.25">
      <c r="A159" s="19"/>
      <c r="B159" s="19" t="s">
        <v>60</v>
      </c>
      <c r="C159" s="19"/>
      <c r="D159" s="19"/>
      <c r="E159" s="19"/>
      <c r="F159" s="29">
        <f>ROUND(F158/1.3495,0)</f>
        <v>48698381</v>
      </c>
    </row>
    <row r="160" spans="1:6" x14ac:dyDescent="0.25">
      <c r="A160" s="19"/>
      <c r="B160" s="19" t="s">
        <v>61</v>
      </c>
      <c r="C160" s="131">
        <v>0.24</v>
      </c>
      <c r="D160" s="19"/>
      <c r="E160" s="19"/>
      <c r="F160" s="29">
        <f>ROUND(F159*C160,0)</f>
        <v>11687611</v>
      </c>
    </row>
    <row r="161" spans="1:6" x14ac:dyDescent="0.25">
      <c r="A161" s="19"/>
      <c r="B161" s="19" t="s">
        <v>57</v>
      </c>
      <c r="C161" s="131">
        <v>0.05</v>
      </c>
      <c r="D161" s="19"/>
      <c r="E161" s="19"/>
      <c r="F161" s="29">
        <f>ROUND(F159*C161,0)</f>
        <v>2434919</v>
      </c>
    </row>
    <row r="162" spans="1:6" x14ac:dyDescent="0.25">
      <c r="A162" s="19"/>
      <c r="B162" s="19" t="s">
        <v>62</v>
      </c>
      <c r="C162" s="131">
        <v>0.05</v>
      </c>
      <c r="D162" s="19"/>
      <c r="E162" s="19"/>
      <c r="F162" s="29">
        <f>ROUND(F159*C162,0)</f>
        <v>2434919</v>
      </c>
    </row>
    <row r="163" spans="1:6" x14ac:dyDescent="0.25">
      <c r="A163" s="19"/>
      <c r="B163" s="132" t="s">
        <v>63</v>
      </c>
      <c r="C163" s="133">
        <v>0.19</v>
      </c>
      <c r="D163" s="120"/>
      <c r="E163" s="120"/>
      <c r="F163" s="35">
        <f>ROUND(F162*19%,0)</f>
        <v>462635</v>
      </c>
    </row>
    <row r="164" spans="1:6" x14ac:dyDescent="0.25">
      <c r="A164" s="19"/>
      <c r="B164" s="18" t="s">
        <v>56</v>
      </c>
      <c r="C164" s="19"/>
      <c r="D164" s="19"/>
      <c r="E164" s="19"/>
      <c r="F164" s="30">
        <f>SUM(F159:F163)</f>
        <v>65718465</v>
      </c>
    </row>
    <row r="166" spans="1:6" x14ac:dyDescent="0.25">
      <c r="A166" s="422" t="s">
        <v>728</v>
      </c>
      <c r="B166" s="422"/>
      <c r="C166" s="422"/>
      <c r="D166" s="422"/>
      <c r="E166" s="422"/>
      <c r="F166" s="422"/>
    </row>
    <row r="167" spans="1:6" x14ac:dyDescent="0.25">
      <c r="A167" s="420" t="s">
        <v>10</v>
      </c>
      <c r="B167" s="420" t="s">
        <v>0</v>
      </c>
      <c r="C167" s="420" t="s">
        <v>11</v>
      </c>
      <c r="D167" s="420" t="s">
        <v>12</v>
      </c>
      <c r="E167" s="420"/>
      <c r="F167" s="420"/>
    </row>
    <row r="168" spans="1:6" x14ac:dyDescent="0.25">
      <c r="A168" s="420"/>
      <c r="B168" s="420"/>
      <c r="C168" s="420"/>
      <c r="D168" s="54" t="s">
        <v>13</v>
      </c>
      <c r="E168" s="54" t="s">
        <v>14</v>
      </c>
      <c r="F168" s="54" t="s">
        <v>15</v>
      </c>
    </row>
    <row r="169" spans="1:6" x14ac:dyDescent="0.25">
      <c r="A169" s="405">
        <f t="shared" ref="A169:A197" si="7">A168+1</f>
        <v>1</v>
      </c>
      <c r="B169" s="18" t="s">
        <v>16</v>
      </c>
      <c r="C169" s="420"/>
      <c r="D169" s="420"/>
      <c r="E169" s="420"/>
      <c r="F169" s="20"/>
    </row>
    <row r="170" spans="1:6" ht="29.25" x14ac:dyDescent="0.25">
      <c r="A170" s="405">
        <f t="shared" si="7"/>
        <v>2</v>
      </c>
      <c r="B170" s="406" t="s">
        <v>17</v>
      </c>
      <c r="C170" s="405" t="s">
        <v>18</v>
      </c>
      <c r="D170" s="31">
        <v>48</v>
      </c>
      <c r="E170" s="59">
        <v>5214</v>
      </c>
      <c r="F170" s="187">
        <f t="shared" ref="F170:F197" si="8">ROUND(D170*E170,0)</f>
        <v>250272</v>
      </c>
    </row>
    <row r="171" spans="1:6" ht="29.25" x14ac:dyDescent="0.25">
      <c r="A171" s="405">
        <f>A170+1</f>
        <v>3</v>
      </c>
      <c r="B171" s="406" t="s">
        <v>21</v>
      </c>
      <c r="C171" s="405" t="s">
        <v>18</v>
      </c>
      <c r="D171" s="31">
        <v>108</v>
      </c>
      <c r="E171" s="59">
        <v>13608</v>
      </c>
      <c r="F171" s="187">
        <f t="shared" si="8"/>
        <v>1469664</v>
      </c>
    </row>
    <row r="172" spans="1:6" x14ac:dyDescent="0.25">
      <c r="A172" s="405">
        <f t="shared" si="7"/>
        <v>4</v>
      </c>
      <c r="B172" s="406" t="s">
        <v>22</v>
      </c>
      <c r="C172" s="405" t="s">
        <v>23</v>
      </c>
      <c r="D172" s="31">
        <v>1</v>
      </c>
      <c r="E172" s="59">
        <v>155349</v>
      </c>
      <c r="F172" s="187">
        <f t="shared" si="8"/>
        <v>155349</v>
      </c>
    </row>
    <row r="173" spans="1:6" x14ac:dyDescent="0.25">
      <c r="A173" s="405">
        <f t="shared" si="7"/>
        <v>5</v>
      </c>
      <c r="B173" s="188" t="s">
        <v>25</v>
      </c>
      <c r="C173" s="20"/>
      <c r="D173" s="20"/>
      <c r="E173" s="59" t="s">
        <v>1</v>
      </c>
      <c r="F173" s="187" t="s">
        <v>1</v>
      </c>
    </row>
    <row r="174" spans="1:6" x14ac:dyDescent="0.25">
      <c r="A174" s="405">
        <f t="shared" si="7"/>
        <v>6</v>
      </c>
      <c r="B174" s="56" t="s">
        <v>26</v>
      </c>
      <c r="C174" s="405" t="s">
        <v>18</v>
      </c>
      <c r="D174" s="31">
        <v>200</v>
      </c>
      <c r="E174" s="59">
        <v>7630</v>
      </c>
      <c r="F174" s="187">
        <f t="shared" si="8"/>
        <v>1526000</v>
      </c>
    </row>
    <row r="175" spans="1:6" ht="43.5" x14ac:dyDescent="0.25">
      <c r="A175" s="405">
        <f t="shared" si="7"/>
        <v>7</v>
      </c>
      <c r="B175" s="406" t="s">
        <v>27</v>
      </c>
      <c r="C175" s="405" t="s">
        <v>64</v>
      </c>
      <c r="D175" s="31">
        <v>15</v>
      </c>
      <c r="E175" s="59">
        <v>83312</v>
      </c>
      <c r="F175" s="187">
        <f t="shared" si="8"/>
        <v>1249680</v>
      </c>
    </row>
    <row r="176" spans="1:6" x14ac:dyDescent="0.25">
      <c r="A176" s="405">
        <f t="shared" si="7"/>
        <v>8</v>
      </c>
      <c r="B176" s="188" t="s">
        <v>28</v>
      </c>
      <c r="C176" s="20"/>
      <c r="D176" s="20"/>
      <c r="E176" s="59" t="s">
        <v>1</v>
      </c>
      <c r="F176" s="187" t="s">
        <v>1</v>
      </c>
    </row>
    <row r="177" spans="1:6" x14ac:dyDescent="0.25">
      <c r="A177" s="405">
        <f t="shared" si="7"/>
        <v>9</v>
      </c>
      <c r="B177" s="406" t="s">
        <v>29</v>
      </c>
      <c r="C177" s="405" t="s">
        <v>64</v>
      </c>
      <c r="D177" s="31">
        <v>128</v>
      </c>
      <c r="E177" s="59">
        <v>26317</v>
      </c>
      <c r="F177" s="187">
        <f t="shared" si="8"/>
        <v>3368576</v>
      </c>
    </row>
    <row r="178" spans="1:6" x14ac:dyDescent="0.25">
      <c r="A178" s="405">
        <f t="shared" si="7"/>
        <v>10</v>
      </c>
      <c r="B178" s="406" t="s">
        <v>31</v>
      </c>
      <c r="C178" s="405" t="s">
        <v>18</v>
      </c>
      <c r="D178" s="31">
        <v>10</v>
      </c>
      <c r="E178" s="59">
        <v>31128</v>
      </c>
      <c r="F178" s="187">
        <f t="shared" si="8"/>
        <v>311280</v>
      </c>
    </row>
    <row r="179" spans="1:6" ht="29.25" x14ac:dyDescent="0.25">
      <c r="A179" s="405">
        <f t="shared" si="7"/>
        <v>11</v>
      </c>
      <c r="B179" s="406" t="s">
        <v>32</v>
      </c>
      <c r="C179" s="405" t="s">
        <v>64</v>
      </c>
      <c r="D179" s="31">
        <v>48</v>
      </c>
      <c r="E179" s="59">
        <v>32749</v>
      </c>
      <c r="F179" s="187">
        <f t="shared" si="8"/>
        <v>1571952</v>
      </c>
    </row>
    <row r="180" spans="1:6" ht="30" x14ac:dyDescent="0.25">
      <c r="A180" s="405">
        <f t="shared" si="7"/>
        <v>12</v>
      </c>
      <c r="B180" s="188" t="s">
        <v>33</v>
      </c>
      <c r="C180" s="20"/>
      <c r="D180" s="20"/>
      <c r="E180" s="242" t="s">
        <v>1</v>
      </c>
      <c r="F180" s="187" t="s">
        <v>1</v>
      </c>
    </row>
    <row r="181" spans="1:6" ht="29.25" x14ac:dyDescent="0.25">
      <c r="A181" s="405">
        <f t="shared" si="7"/>
        <v>13</v>
      </c>
      <c r="B181" s="406" t="s">
        <v>66</v>
      </c>
      <c r="C181" s="405" t="s">
        <v>18</v>
      </c>
      <c r="D181" s="31">
        <v>48</v>
      </c>
      <c r="E181" s="59">
        <v>23781</v>
      </c>
      <c r="F181" s="187">
        <f t="shared" si="8"/>
        <v>1141488</v>
      </c>
    </row>
    <row r="182" spans="1:6" ht="57" x14ac:dyDescent="0.25">
      <c r="A182" s="405">
        <f t="shared" si="7"/>
        <v>14</v>
      </c>
      <c r="B182" s="57" t="s">
        <v>35</v>
      </c>
      <c r="C182" s="405" t="s">
        <v>18</v>
      </c>
      <c r="D182" s="31">
        <v>1.8</v>
      </c>
      <c r="E182" s="59">
        <v>637411</v>
      </c>
      <c r="F182" s="187">
        <f t="shared" si="8"/>
        <v>1147340</v>
      </c>
    </row>
    <row r="183" spans="1:6" ht="43.5" x14ac:dyDescent="0.25">
      <c r="A183" s="405">
        <f t="shared" si="7"/>
        <v>15</v>
      </c>
      <c r="B183" s="406" t="s">
        <v>74</v>
      </c>
      <c r="C183" s="405" t="s">
        <v>37</v>
      </c>
      <c r="D183" s="31">
        <v>2</v>
      </c>
      <c r="E183" s="59">
        <v>777600</v>
      </c>
      <c r="F183" s="187">
        <f t="shared" si="8"/>
        <v>1555200</v>
      </c>
    </row>
    <row r="184" spans="1:6" x14ac:dyDescent="0.25">
      <c r="A184" s="405">
        <f t="shared" si="7"/>
        <v>16</v>
      </c>
      <c r="B184" s="406" t="s">
        <v>38</v>
      </c>
      <c r="C184" s="405" t="s">
        <v>37</v>
      </c>
      <c r="D184" s="31">
        <v>2</v>
      </c>
      <c r="E184" s="59">
        <v>540447</v>
      </c>
      <c r="F184" s="187">
        <f t="shared" si="8"/>
        <v>1080894</v>
      </c>
    </row>
    <row r="185" spans="1:6" ht="29.25" x14ac:dyDescent="0.25">
      <c r="A185" s="405">
        <f t="shared" si="7"/>
        <v>17</v>
      </c>
      <c r="B185" s="406" t="s">
        <v>39</v>
      </c>
      <c r="C185" s="405" t="s">
        <v>18</v>
      </c>
      <c r="D185" s="31">
        <v>54</v>
      </c>
      <c r="E185" s="59">
        <v>13802</v>
      </c>
      <c r="F185" s="187">
        <f t="shared" si="8"/>
        <v>745308</v>
      </c>
    </row>
    <row r="186" spans="1:6" ht="43.5" x14ac:dyDescent="0.25">
      <c r="A186" s="405">
        <f t="shared" si="7"/>
        <v>18</v>
      </c>
      <c r="B186" s="406" t="s">
        <v>75</v>
      </c>
      <c r="C186" s="405" t="s">
        <v>23</v>
      </c>
      <c r="D186" s="31">
        <v>13</v>
      </c>
      <c r="E186" s="59">
        <v>399818</v>
      </c>
      <c r="F186" s="187">
        <f t="shared" si="8"/>
        <v>5197634</v>
      </c>
    </row>
    <row r="187" spans="1:6" x14ac:dyDescent="0.25">
      <c r="A187" s="405">
        <f t="shared" si="7"/>
        <v>19</v>
      </c>
      <c r="B187" s="406" t="s">
        <v>67</v>
      </c>
      <c r="C187" s="405" t="s">
        <v>23</v>
      </c>
      <c r="D187" s="31">
        <v>13</v>
      </c>
      <c r="E187" s="59">
        <v>43482</v>
      </c>
      <c r="F187" s="187">
        <f t="shared" si="8"/>
        <v>565266</v>
      </c>
    </row>
    <row r="188" spans="1:6" x14ac:dyDescent="0.25">
      <c r="A188" s="405">
        <f t="shared" si="7"/>
        <v>20</v>
      </c>
      <c r="B188" s="406" t="s">
        <v>42</v>
      </c>
      <c r="C188" s="405" t="s">
        <v>23</v>
      </c>
      <c r="D188" s="31">
        <v>2</v>
      </c>
      <c r="E188" s="59">
        <v>90312</v>
      </c>
      <c r="F188" s="187">
        <f t="shared" si="8"/>
        <v>180624</v>
      </c>
    </row>
    <row r="189" spans="1:6" x14ac:dyDescent="0.25">
      <c r="A189" s="405">
        <f t="shared" si="7"/>
        <v>21</v>
      </c>
      <c r="B189" s="188" t="s">
        <v>43</v>
      </c>
      <c r="C189" s="20"/>
      <c r="D189" s="20"/>
      <c r="E189" s="59" t="s">
        <v>1</v>
      </c>
      <c r="F189" s="187" t="s">
        <v>1</v>
      </c>
    </row>
    <row r="190" spans="1:6" x14ac:dyDescent="0.25">
      <c r="A190" s="405">
        <f t="shared" si="7"/>
        <v>22</v>
      </c>
      <c r="B190" s="406" t="s">
        <v>44</v>
      </c>
      <c r="C190" s="404" t="s">
        <v>64</v>
      </c>
      <c r="D190" s="61">
        <v>10</v>
      </c>
      <c r="E190" s="242">
        <v>120657</v>
      </c>
      <c r="F190" s="187">
        <f t="shared" si="8"/>
        <v>1206570</v>
      </c>
    </row>
    <row r="191" spans="1:6" ht="29.25" x14ac:dyDescent="0.25">
      <c r="A191" s="405">
        <f t="shared" si="7"/>
        <v>23</v>
      </c>
      <c r="B191" s="406" t="s">
        <v>45</v>
      </c>
      <c r="C191" s="404" t="s">
        <v>64</v>
      </c>
      <c r="D191" s="61">
        <v>94</v>
      </c>
      <c r="E191" s="242">
        <v>22131</v>
      </c>
      <c r="F191" s="187">
        <f t="shared" si="8"/>
        <v>2080314</v>
      </c>
    </row>
    <row r="192" spans="1:6" x14ac:dyDescent="0.25">
      <c r="A192" s="405">
        <f t="shared" si="7"/>
        <v>24</v>
      </c>
      <c r="B192" s="406" t="s">
        <v>46</v>
      </c>
      <c r="C192" s="404" t="s">
        <v>64</v>
      </c>
      <c r="D192" s="61">
        <v>19</v>
      </c>
      <c r="E192" s="242">
        <v>144847</v>
      </c>
      <c r="F192" s="187">
        <f t="shared" si="8"/>
        <v>2752093</v>
      </c>
    </row>
    <row r="193" spans="1:6" x14ac:dyDescent="0.25">
      <c r="A193" s="405">
        <f t="shared" si="7"/>
        <v>25</v>
      </c>
      <c r="B193" s="188" t="s">
        <v>48</v>
      </c>
      <c r="C193" s="20"/>
      <c r="D193" s="20"/>
      <c r="E193" s="242" t="s">
        <v>1</v>
      </c>
      <c r="F193" s="187" t="s">
        <v>1</v>
      </c>
    </row>
    <row r="194" spans="1:6" ht="29.25" x14ac:dyDescent="0.25">
      <c r="A194" s="405">
        <f t="shared" si="7"/>
        <v>26</v>
      </c>
      <c r="B194" s="406" t="s">
        <v>49</v>
      </c>
      <c r="C194" s="404" t="s">
        <v>64</v>
      </c>
      <c r="D194" s="61">
        <v>0.5</v>
      </c>
      <c r="E194" s="242">
        <v>605480</v>
      </c>
      <c r="F194" s="187">
        <f t="shared" si="8"/>
        <v>302740</v>
      </c>
    </row>
    <row r="195" spans="1:6" ht="29.25" x14ac:dyDescent="0.25">
      <c r="A195" s="405">
        <f t="shared" si="7"/>
        <v>27</v>
      </c>
      <c r="B195" s="406" t="s">
        <v>50</v>
      </c>
      <c r="C195" s="404" t="s">
        <v>64</v>
      </c>
      <c r="D195" s="61">
        <v>15</v>
      </c>
      <c r="E195" s="242">
        <v>822268</v>
      </c>
      <c r="F195" s="187">
        <f t="shared" si="8"/>
        <v>12334020</v>
      </c>
    </row>
    <row r="196" spans="1:6" x14ac:dyDescent="0.25">
      <c r="A196" s="405">
        <f t="shared" si="7"/>
        <v>28</v>
      </c>
      <c r="B196" s="188" t="s">
        <v>51</v>
      </c>
      <c r="C196" s="20"/>
      <c r="D196" s="20"/>
      <c r="E196" s="242" t="s">
        <v>1</v>
      </c>
      <c r="F196" s="187" t="s">
        <v>1</v>
      </c>
    </row>
    <row r="197" spans="1:6" x14ac:dyDescent="0.25">
      <c r="A197" s="405">
        <f t="shared" si="7"/>
        <v>29</v>
      </c>
      <c r="B197" s="406" t="s">
        <v>52</v>
      </c>
      <c r="C197" s="404" t="s">
        <v>53</v>
      </c>
      <c r="D197" s="61">
        <v>36</v>
      </c>
      <c r="E197" s="242">
        <v>5922</v>
      </c>
      <c r="F197" s="187">
        <f t="shared" si="8"/>
        <v>213192</v>
      </c>
    </row>
    <row r="198" spans="1:6" x14ac:dyDescent="0.25">
      <c r="A198" s="403"/>
      <c r="B198" s="188" t="s">
        <v>56</v>
      </c>
      <c r="C198" s="54"/>
      <c r="D198" s="130"/>
      <c r="E198" s="28"/>
      <c r="F198" s="79">
        <f>SUM(F169:F197)</f>
        <v>40405456</v>
      </c>
    </row>
    <row r="199" spans="1:6" x14ac:dyDescent="0.25">
      <c r="A199" s="19"/>
      <c r="B199" s="19" t="s">
        <v>60</v>
      </c>
      <c r="C199" s="19"/>
      <c r="D199" s="19"/>
      <c r="E199" s="19"/>
      <c r="F199" s="29">
        <f>ROUND(F198/1.3495,0)</f>
        <v>29941057</v>
      </c>
    </row>
    <row r="200" spans="1:6" x14ac:dyDescent="0.25">
      <c r="A200" s="19"/>
      <c r="B200" s="19" t="s">
        <v>61</v>
      </c>
      <c r="C200" s="131">
        <v>0.24</v>
      </c>
      <c r="D200" s="19"/>
      <c r="E200" s="19"/>
      <c r="F200" s="29">
        <f>ROUND(F199*C200,0)</f>
        <v>7185854</v>
      </c>
    </row>
    <row r="201" spans="1:6" x14ac:dyDescent="0.25">
      <c r="A201" s="19"/>
      <c r="B201" s="19" t="s">
        <v>57</v>
      </c>
      <c r="C201" s="131">
        <v>0.05</v>
      </c>
      <c r="D201" s="19"/>
      <c r="E201" s="19"/>
      <c r="F201" s="29">
        <f>ROUND(F199*C201,0)</f>
        <v>1497053</v>
      </c>
    </row>
    <row r="202" spans="1:6" x14ac:dyDescent="0.25">
      <c r="A202" s="19"/>
      <c r="B202" s="19" t="s">
        <v>62</v>
      </c>
      <c r="C202" s="131">
        <v>0.05</v>
      </c>
      <c r="D202" s="19"/>
      <c r="E202" s="19"/>
      <c r="F202" s="29">
        <f>ROUND(F199*C202,0)</f>
        <v>1497053</v>
      </c>
    </row>
    <row r="203" spans="1:6" x14ac:dyDescent="0.25">
      <c r="A203" s="19"/>
      <c r="B203" s="132" t="s">
        <v>63</v>
      </c>
      <c r="C203" s="133">
        <v>0.19</v>
      </c>
      <c r="D203" s="120"/>
      <c r="E203" s="120"/>
      <c r="F203" s="35">
        <f>ROUND(F202*19%,0)</f>
        <v>284440</v>
      </c>
    </row>
    <row r="204" spans="1:6" x14ac:dyDescent="0.25">
      <c r="A204" s="19"/>
      <c r="B204" s="18" t="s">
        <v>56</v>
      </c>
      <c r="C204" s="19"/>
      <c r="D204" s="19"/>
      <c r="E204" s="19"/>
      <c r="F204" s="30">
        <f>SUM(F199:F203)</f>
        <v>40405457</v>
      </c>
    </row>
    <row r="206" spans="1:6" x14ac:dyDescent="0.25">
      <c r="A206" s="422" t="s">
        <v>729</v>
      </c>
      <c r="B206" s="422"/>
      <c r="C206" s="422"/>
      <c r="D206" s="422"/>
      <c r="E206" s="422"/>
      <c r="F206" s="422"/>
    </row>
    <row r="207" spans="1:6" x14ac:dyDescent="0.25">
      <c r="A207" s="420" t="s">
        <v>10</v>
      </c>
      <c r="B207" s="420" t="s">
        <v>0</v>
      </c>
      <c r="C207" s="420" t="s">
        <v>11</v>
      </c>
      <c r="D207" s="420" t="s">
        <v>12</v>
      </c>
      <c r="E207" s="420"/>
      <c r="F207" s="420"/>
    </row>
    <row r="208" spans="1:6" x14ac:dyDescent="0.25">
      <c r="A208" s="420"/>
      <c r="B208" s="420"/>
      <c r="C208" s="420"/>
      <c r="D208" s="54" t="s">
        <v>13</v>
      </c>
      <c r="E208" s="54" t="s">
        <v>14</v>
      </c>
      <c r="F208" s="54" t="s">
        <v>15</v>
      </c>
    </row>
    <row r="209" spans="1:6" x14ac:dyDescent="0.25">
      <c r="A209" s="405">
        <f t="shared" ref="A209:A237" si="9">A208+1</f>
        <v>1</v>
      </c>
      <c r="B209" s="18" t="s">
        <v>16</v>
      </c>
      <c r="C209" s="420"/>
      <c r="D209" s="420"/>
      <c r="E209" s="420"/>
      <c r="F209" s="20"/>
    </row>
    <row r="210" spans="1:6" ht="29.25" x14ac:dyDescent="0.25">
      <c r="A210" s="405">
        <f t="shared" si="9"/>
        <v>2</v>
      </c>
      <c r="B210" s="406" t="s">
        <v>17</v>
      </c>
      <c r="C210" s="404" t="s">
        <v>18</v>
      </c>
      <c r="D210" s="61">
        <v>48</v>
      </c>
      <c r="E210" s="242">
        <v>5214</v>
      </c>
      <c r="F210" s="187">
        <f t="shared" ref="F210:F237" si="10">ROUND(D210*E210,0)</f>
        <v>250272</v>
      </c>
    </row>
    <row r="211" spans="1:6" ht="29.25" x14ac:dyDescent="0.25">
      <c r="A211" s="405">
        <f>A210+1</f>
        <v>3</v>
      </c>
      <c r="B211" s="406" t="s">
        <v>21</v>
      </c>
      <c r="C211" s="404" t="s">
        <v>18</v>
      </c>
      <c r="D211" s="61">
        <v>108</v>
      </c>
      <c r="E211" s="242">
        <v>13608</v>
      </c>
      <c r="F211" s="187">
        <f t="shared" si="10"/>
        <v>1469664</v>
      </c>
    </row>
    <row r="212" spans="1:6" x14ac:dyDescent="0.25">
      <c r="A212" s="405">
        <f t="shared" si="9"/>
        <v>4</v>
      </c>
      <c r="B212" s="406" t="s">
        <v>22</v>
      </c>
      <c r="C212" s="404" t="s">
        <v>23</v>
      </c>
      <c r="D212" s="61">
        <v>2</v>
      </c>
      <c r="E212" s="242">
        <v>155349</v>
      </c>
      <c r="F212" s="187">
        <f t="shared" si="10"/>
        <v>310698</v>
      </c>
    </row>
    <row r="213" spans="1:6" x14ac:dyDescent="0.25">
      <c r="A213" s="405">
        <f t="shared" si="9"/>
        <v>5</v>
      </c>
      <c r="B213" s="188" t="s">
        <v>25</v>
      </c>
      <c r="C213" s="20"/>
      <c r="D213" s="20"/>
      <c r="E213" s="242"/>
      <c r="F213" s="187" t="s">
        <v>1</v>
      </c>
    </row>
    <row r="214" spans="1:6" x14ac:dyDescent="0.25">
      <c r="A214" s="405">
        <f t="shared" si="9"/>
        <v>6</v>
      </c>
      <c r="B214" s="56" t="s">
        <v>26</v>
      </c>
      <c r="C214" s="404" t="s">
        <v>18</v>
      </c>
      <c r="D214" s="61">
        <v>176</v>
      </c>
      <c r="E214" s="242">
        <v>7630</v>
      </c>
      <c r="F214" s="187">
        <f t="shared" si="10"/>
        <v>1342880</v>
      </c>
    </row>
    <row r="215" spans="1:6" ht="43.5" x14ac:dyDescent="0.25">
      <c r="A215" s="405">
        <f t="shared" si="9"/>
        <v>7</v>
      </c>
      <c r="B215" s="406" t="s">
        <v>27</v>
      </c>
      <c r="C215" s="405" t="s">
        <v>64</v>
      </c>
      <c r="D215" s="31">
        <v>12</v>
      </c>
      <c r="E215" s="59">
        <v>83312</v>
      </c>
      <c r="F215" s="187">
        <f t="shared" si="10"/>
        <v>999744</v>
      </c>
    </row>
    <row r="216" spans="1:6" x14ac:dyDescent="0.25">
      <c r="A216" s="405">
        <f t="shared" si="9"/>
        <v>8</v>
      </c>
      <c r="B216" s="188" t="s">
        <v>28</v>
      </c>
      <c r="C216" s="20"/>
      <c r="D216" s="20"/>
      <c r="E216" s="59"/>
      <c r="F216" s="187" t="s">
        <v>1</v>
      </c>
    </row>
    <row r="217" spans="1:6" x14ac:dyDescent="0.25">
      <c r="A217" s="405">
        <f t="shared" si="9"/>
        <v>9</v>
      </c>
      <c r="B217" s="406" t="s">
        <v>29</v>
      </c>
      <c r="C217" s="405" t="s">
        <v>64</v>
      </c>
      <c r="D217" s="31">
        <v>112</v>
      </c>
      <c r="E217" s="59">
        <v>26317</v>
      </c>
      <c r="F217" s="187">
        <f t="shared" si="10"/>
        <v>2947504</v>
      </c>
    </row>
    <row r="218" spans="1:6" x14ac:dyDescent="0.25">
      <c r="A218" s="405">
        <f t="shared" si="9"/>
        <v>10</v>
      </c>
      <c r="B218" s="406" t="s">
        <v>694</v>
      </c>
      <c r="C218" s="405" t="s">
        <v>18</v>
      </c>
      <c r="D218" s="31">
        <v>30</v>
      </c>
      <c r="E218" s="59">
        <v>31128</v>
      </c>
      <c r="F218" s="187">
        <f t="shared" si="10"/>
        <v>933840</v>
      </c>
    </row>
    <row r="219" spans="1:6" ht="29.25" x14ac:dyDescent="0.25">
      <c r="A219" s="405">
        <f t="shared" si="9"/>
        <v>11</v>
      </c>
      <c r="B219" s="406" t="s">
        <v>32</v>
      </c>
      <c r="C219" s="405" t="s">
        <v>64</v>
      </c>
      <c r="D219" s="31">
        <v>38</v>
      </c>
      <c r="E219" s="59">
        <v>32749</v>
      </c>
      <c r="F219" s="187">
        <f t="shared" si="10"/>
        <v>1244462</v>
      </c>
    </row>
    <row r="220" spans="1:6" ht="30" x14ac:dyDescent="0.25">
      <c r="A220" s="405">
        <f t="shared" si="9"/>
        <v>12</v>
      </c>
      <c r="B220" s="188" t="s">
        <v>33</v>
      </c>
      <c r="C220" s="20"/>
      <c r="D220" s="20"/>
      <c r="E220" s="59" t="s">
        <v>1</v>
      </c>
      <c r="F220" s="187" t="s">
        <v>1</v>
      </c>
    </row>
    <row r="221" spans="1:6" ht="29.25" x14ac:dyDescent="0.25">
      <c r="A221" s="405">
        <f t="shared" si="9"/>
        <v>13</v>
      </c>
      <c r="B221" s="406" t="s">
        <v>297</v>
      </c>
      <c r="C221" s="405" t="s">
        <v>18</v>
      </c>
      <c r="D221" s="31">
        <v>48</v>
      </c>
      <c r="E221" s="59">
        <f>1981*18</f>
        <v>35658</v>
      </c>
      <c r="F221" s="187">
        <f t="shared" si="10"/>
        <v>1711584</v>
      </c>
    </row>
    <row r="222" spans="1:6" ht="57" x14ac:dyDescent="0.25">
      <c r="A222" s="405">
        <f t="shared" si="9"/>
        <v>14</v>
      </c>
      <c r="B222" s="57" t="s">
        <v>35</v>
      </c>
      <c r="C222" s="405" t="s">
        <v>18</v>
      </c>
      <c r="D222" s="31">
        <v>6</v>
      </c>
      <c r="E222" s="59">
        <v>637411</v>
      </c>
      <c r="F222" s="187">
        <f t="shared" si="10"/>
        <v>3824466</v>
      </c>
    </row>
    <row r="223" spans="1:6" ht="43.5" x14ac:dyDescent="0.25">
      <c r="A223" s="405">
        <f t="shared" si="9"/>
        <v>15</v>
      </c>
      <c r="B223" s="406" t="s">
        <v>276</v>
      </c>
      <c r="C223" s="405" t="s">
        <v>37</v>
      </c>
      <c r="D223" s="31">
        <v>4</v>
      </c>
      <c r="E223" s="59">
        <v>777600</v>
      </c>
      <c r="F223" s="187">
        <f t="shared" si="10"/>
        <v>3110400</v>
      </c>
    </row>
    <row r="224" spans="1:6" x14ac:dyDescent="0.25">
      <c r="A224" s="405">
        <f t="shared" si="9"/>
        <v>16</v>
      </c>
      <c r="B224" s="55" t="s">
        <v>38</v>
      </c>
      <c r="C224" s="405" t="s">
        <v>37</v>
      </c>
      <c r="D224" s="31">
        <v>6</v>
      </c>
      <c r="E224" s="59">
        <v>540447</v>
      </c>
      <c r="F224" s="187">
        <f t="shared" si="10"/>
        <v>3242682</v>
      </c>
    </row>
    <row r="225" spans="1:6" ht="29.25" x14ac:dyDescent="0.25">
      <c r="A225" s="405">
        <f t="shared" si="9"/>
        <v>17</v>
      </c>
      <c r="B225" s="406" t="s">
        <v>39</v>
      </c>
      <c r="C225" s="405" t="s">
        <v>18</v>
      </c>
      <c r="D225" s="31">
        <v>42</v>
      </c>
      <c r="E225" s="59">
        <v>13802</v>
      </c>
      <c r="F225" s="187">
        <f t="shared" si="10"/>
        <v>579684</v>
      </c>
    </row>
    <row r="226" spans="1:6" ht="43.5" x14ac:dyDescent="0.25">
      <c r="A226" s="405">
        <f t="shared" si="9"/>
        <v>18</v>
      </c>
      <c r="B226" s="406" t="s">
        <v>40</v>
      </c>
      <c r="C226" s="405" t="s">
        <v>23</v>
      </c>
      <c r="D226" s="31">
        <v>8</v>
      </c>
      <c r="E226" s="59">
        <v>399818</v>
      </c>
      <c r="F226" s="187">
        <f t="shared" si="10"/>
        <v>3198544</v>
      </c>
    </row>
    <row r="227" spans="1:6" x14ac:dyDescent="0.25">
      <c r="A227" s="405">
        <f t="shared" si="9"/>
        <v>19</v>
      </c>
      <c r="B227" s="406" t="s">
        <v>730</v>
      </c>
      <c r="C227" s="405" t="s">
        <v>23</v>
      </c>
      <c r="D227" s="31">
        <v>8</v>
      </c>
      <c r="E227" s="59">
        <v>49187</v>
      </c>
      <c r="F227" s="187">
        <f t="shared" si="10"/>
        <v>393496</v>
      </c>
    </row>
    <row r="228" spans="1:6" x14ac:dyDescent="0.25">
      <c r="A228" s="405">
        <f t="shared" si="9"/>
        <v>20</v>
      </c>
      <c r="B228" s="406" t="s">
        <v>42</v>
      </c>
      <c r="C228" s="405" t="s">
        <v>23</v>
      </c>
      <c r="D228" s="31">
        <v>2</v>
      </c>
      <c r="E228" s="59">
        <v>90312</v>
      </c>
      <c r="F228" s="187">
        <f t="shared" si="10"/>
        <v>180624</v>
      </c>
    </row>
    <row r="229" spans="1:6" x14ac:dyDescent="0.25">
      <c r="A229" s="405">
        <f t="shared" si="9"/>
        <v>21</v>
      </c>
      <c r="B229" s="188" t="s">
        <v>43</v>
      </c>
      <c r="C229" s="20"/>
      <c r="D229" s="20"/>
      <c r="E229" s="59"/>
      <c r="F229" s="187" t="s">
        <v>1</v>
      </c>
    </row>
    <row r="230" spans="1:6" x14ac:dyDescent="0.25">
      <c r="A230" s="405">
        <f t="shared" si="9"/>
        <v>22</v>
      </c>
      <c r="B230" s="406" t="s">
        <v>44</v>
      </c>
      <c r="C230" s="405" t="s">
        <v>64</v>
      </c>
      <c r="D230" s="31">
        <v>7</v>
      </c>
      <c r="E230" s="59">
        <v>120657</v>
      </c>
      <c r="F230" s="187">
        <f t="shared" si="10"/>
        <v>844599</v>
      </c>
    </row>
    <row r="231" spans="1:6" ht="29.25" x14ac:dyDescent="0.25">
      <c r="A231" s="405">
        <f t="shared" si="9"/>
        <v>23</v>
      </c>
      <c r="B231" s="406" t="s">
        <v>45</v>
      </c>
      <c r="C231" s="405" t="s">
        <v>64</v>
      </c>
      <c r="D231" s="31">
        <v>85</v>
      </c>
      <c r="E231" s="59">
        <v>22131</v>
      </c>
      <c r="F231" s="187">
        <f t="shared" si="10"/>
        <v>1881135</v>
      </c>
    </row>
    <row r="232" spans="1:6" ht="28.5" x14ac:dyDescent="0.25">
      <c r="A232" s="405">
        <f t="shared" si="9"/>
        <v>24</v>
      </c>
      <c r="B232" s="408" t="s">
        <v>731</v>
      </c>
      <c r="C232" s="405" t="s">
        <v>64</v>
      </c>
      <c r="D232" s="31">
        <v>16</v>
      </c>
      <c r="E232" s="59">
        <v>144847</v>
      </c>
      <c r="F232" s="187">
        <f t="shared" si="10"/>
        <v>2317552</v>
      </c>
    </row>
    <row r="233" spans="1:6" x14ac:dyDescent="0.25">
      <c r="A233" s="405">
        <f t="shared" si="9"/>
        <v>25</v>
      </c>
      <c r="B233" s="188" t="s">
        <v>48</v>
      </c>
      <c r="C233" s="20"/>
      <c r="D233" s="20"/>
      <c r="E233" s="59"/>
      <c r="F233" s="187" t="s">
        <v>1</v>
      </c>
    </row>
    <row r="234" spans="1:6" ht="29.25" x14ac:dyDescent="0.25">
      <c r="A234" s="405">
        <f t="shared" si="9"/>
        <v>26</v>
      </c>
      <c r="B234" s="406" t="s">
        <v>49</v>
      </c>
      <c r="C234" s="405" t="s">
        <v>64</v>
      </c>
      <c r="D234" s="31">
        <v>11</v>
      </c>
      <c r="E234" s="59">
        <v>605480</v>
      </c>
      <c r="F234" s="187">
        <f t="shared" si="10"/>
        <v>6660280</v>
      </c>
    </row>
    <row r="235" spans="1:6" ht="29.25" x14ac:dyDescent="0.25">
      <c r="A235" s="405">
        <f t="shared" si="9"/>
        <v>27</v>
      </c>
      <c r="B235" s="406" t="s">
        <v>50</v>
      </c>
      <c r="C235" s="404" t="s">
        <v>64</v>
      </c>
      <c r="D235" s="61">
        <v>1</v>
      </c>
      <c r="E235" s="242">
        <v>822268</v>
      </c>
      <c r="F235" s="187">
        <f t="shared" si="10"/>
        <v>822268</v>
      </c>
    </row>
    <row r="236" spans="1:6" x14ac:dyDescent="0.25">
      <c r="A236" s="405">
        <f t="shared" si="9"/>
        <v>28</v>
      </c>
      <c r="B236" s="188" t="s">
        <v>51</v>
      </c>
      <c r="C236" s="20"/>
      <c r="D236" s="20"/>
      <c r="E236" s="242"/>
      <c r="F236" s="187" t="s">
        <v>1</v>
      </c>
    </row>
    <row r="237" spans="1:6" x14ac:dyDescent="0.25">
      <c r="A237" s="405">
        <f t="shared" si="9"/>
        <v>29</v>
      </c>
      <c r="B237" s="406" t="s">
        <v>52</v>
      </c>
      <c r="C237" s="404" t="s">
        <v>53</v>
      </c>
      <c r="D237" s="61">
        <v>120</v>
      </c>
      <c r="E237" s="242">
        <v>5922</v>
      </c>
      <c r="F237" s="187">
        <f t="shared" si="10"/>
        <v>710640</v>
      </c>
    </row>
    <row r="238" spans="1:6" x14ac:dyDescent="0.25">
      <c r="A238" s="405"/>
      <c r="B238" s="406"/>
      <c r="C238" s="404"/>
      <c r="D238" s="61"/>
      <c r="E238" s="242"/>
      <c r="F238" s="187"/>
    </row>
    <row r="239" spans="1:6" x14ac:dyDescent="0.25">
      <c r="A239" s="403"/>
      <c r="B239" s="188" t="s">
        <v>56</v>
      </c>
      <c r="C239" s="54"/>
      <c r="D239" s="130"/>
      <c r="E239" s="28"/>
      <c r="F239" s="79">
        <f>SUM(F209:F238)</f>
        <v>38977018</v>
      </c>
    </row>
    <row r="240" spans="1:6" x14ac:dyDescent="0.25">
      <c r="A240" s="19"/>
      <c r="B240" s="19" t="s">
        <v>60</v>
      </c>
      <c r="C240" s="19"/>
      <c r="D240" s="19"/>
      <c r="E240" s="19"/>
      <c r="F240" s="29">
        <f>ROUND(F239/1.3495,0)</f>
        <v>28882562</v>
      </c>
    </row>
    <row r="241" spans="1:6" x14ac:dyDescent="0.25">
      <c r="A241" s="19"/>
      <c r="B241" s="19" t="s">
        <v>61</v>
      </c>
      <c r="C241" s="131">
        <v>0.24</v>
      </c>
      <c r="D241" s="19"/>
      <c r="E241" s="19"/>
      <c r="F241" s="29">
        <f>ROUND(F240*C241,0)</f>
        <v>6931815</v>
      </c>
    </row>
    <row r="242" spans="1:6" x14ac:dyDescent="0.25">
      <c r="A242" s="19"/>
      <c r="B242" s="19" t="s">
        <v>57</v>
      </c>
      <c r="C242" s="131">
        <v>0.05</v>
      </c>
      <c r="D242" s="19"/>
      <c r="E242" s="19"/>
      <c r="F242" s="29">
        <f>ROUND(F240*C242,0)</f>
        <v>1444128</v>
      </c>
    </row>
    <row r="243" spans="1:6" x14ac:dyDescent="0.25">
      <c r="A243" s="19"/>
      <c r="B243" s="19" t="s">
        <v>62</v>
      </c>
      <c r="C243" s="131">
        <v>0.05</v>
      </c>
      <c r="D243" s="19"/>
      <c r="E243" s="19"/>
      <c r="F243" s="29">
        <f>ROUND(F240*C243,0)</f>
        <v>1444128</v>
      </c>
    </row>
    <row r="244" spans="1:6" x14ac:dyDescent="0.25">
      <c r="A244" s="19"/>
      <c r="B244" s="132" t="s">
        <v>63</v>
      </c>
      <c r="C244" s="133">
        <v>0.19</v>
      </c>
      <c r="D244" s="120"/>
      <c r="E244" s="120"/>
      <c r="F244" s="35">
        <f>ROUND(F243*19%,0)</f>
        <v>274384</v>
      </c>
    </row>
    <row r="245" spans="1:6" x14ac:dyDescent="0.25">
      <c r="A245" s="19"/>
      <c r="B245" s="18" t="s">
        <v>56</v>
      </c>
      <c r="C245" s="19"/>
      <c r="D245" s="19"/>
      <c r="E245" s="19"/>
      <c r="F245" s="30">
        <f>SUM(F240:F244)</f>
        <v>38977017</v>
      </c>
    </row>
    <row r="248" spans="1:6" x14ac:dyDescent="0.25">
      <c r="A248" s="422" t="s">
        <v>732</v>
      </c>
      <c r="B248" s="422"/>
      <c r="C248" s="422"/>
      <c r="D248" s="422"/>
      <c r="E248" s="422"/>
      <c r="F248" s="422"/>
    </row>
    <row r="249" spans="1:6" x14ac:dyDescent="0.25">
      <c r="A249" s="420" t="s">
        <v>10</v>
      </c>
      <c r="B249" s="420" t="s">
        <v>0</v>
      </c>
      <c r="C249" s="420" t="s">
        <v>11</v>
      </c>
      <c r="D249" s="420" t="s">
        <v>12</v>
      </c>
      <c r="E249" s="420"/>
      <c r="F249" s="420"/>
    </row>
    <row r="250" spans="1:6" x14ac:dyDescent="0.25">
      <c r="A250" s="420"/>
      <c r="B250" s="420"/>
      <c r="C250" s="420"/>
      <c r="D250" s="54" t="s">
        <v>13</v>
      </c>
      <c r="E250" s="54" t="s">
        <v>14</v>
      </c>
      <c r="F250" s="54" t="s">
        <v>15</v>
      </c>
    </row>
    <row r="251" spans="1:6" x14ac:dyDescent="0.25">
      <c r="A251" s="405">
        <f t="shared" ref="A251:A278" si="11">A250+1</f>
        <v>1</v>
      </c>
      <c r="B251" s="18" t="s">
        <v>16</v>
      </c>
      <c r="C251" s="420"/>
      <c r="D251" s="420"/>
      <c r="E251" s="420"/>
      <c r="F251" s="20"/>
    </row>
    <row r="252" spans="1:6" ht="29.25" x14ac:dyDescent="0.25">
      <c r="A252" s="405">
        <f t="shared" si="11"/>
        <v>2</v>
      </c>
      <c r="B252" s="406" t="s">
        <v>17</v>
      </c>
      <c r="C252" s="405" t="s">
        <v>18</v>
      </c>
      <c r="D252" s="31">
        <v>90</v>
      </c>
      <c r="E252" s="59">
        <v>5214</v>
      </c>
      <c r="F252" s="187">
        <f t="shared" ref="F252:F278" si="12">ROUND(D252*E252,0)</f>
        <v>469260</v>
      </c>
    </row>
    <row r="253" spans="1:6" ht="29.25" x14ac:dyDescent="0.25">
      <c r="A253" s="405">
        <f>A252+1</f>
        <v>3</v>
      </c>
      <c r="B253" s="406" t="s">
        <v>21</v>
      </c>
      <c r="C253" s="405" t="s">
        <v>18</v>
      </c>
      <c r="D253" s="31">
        <v>192</v>
      </c>
      <c r="E253" s="59">
        <v>13608</v>
      </c>
      <c r="F253" s="187">
        <f t="shared" si="12"/>
        <v>2612736</v>
      </c>
    </row>
    <row r="254" spans="1:6" x14ac:dyDescent="0.25">
      <c r="A254" s="405">
        <f t="shared" si="11"/>
        <v>4</v>
      </c>
      <c r="B254" s="55" t="s">
        <v>22</v>
      </c>
      <c r="C254" s="405" t="s">
        <v>23</v>
      </c>
      <c r="D254" s="31">
        <v>2</v>
      </c>
      <c r="E254" s="59">
        <v>155349</v>
      </c>
      <c r="F254" s="187">
        <f t="shared" si="12"/>
        <v>310698</v>
      </c>
    </row>
    <row r="255" spans="1:6" x14ac:dyDescent="0.25">
      <c r="A255" s="405">
        <f t="shared" si="11"/>
        <v>5</v>
      </c>
      <c r="B255" s="18" t="s">
        <v>25</v>
      </c>
      <c r="C255" s="20"/>
      <c r="D255" s="20"/>
      <c r="E255" s="59"/>
      <c r="F255" s="187" t="s">
        <v>1</v>
      </c>
    </row>
    <row r="256" spans="1:6" x14ac:dyDescent="0.25">
      <c r="A256" s="405">
        <f t="shared" si="11"/>
        <v>6</v>
      </c>
      <c r="B256" s="56" t="s">
        <v>26</v>
      </c>
      <c r="C256" s="405" t="s">
        <v>18</v>
      </c>
      <c r="D256" s="31">
        <v>330</v>
      </c>
      <c r="E256" s="59">
        <v>7630</v>
      </c>
      <c r="F256" s="187">
        <f t="shared" si="12"/>
        <v>2517900</v>
      </c>
    </row>
    <row r="257" spans="1:6" ht="43.5" x14ac:dyDescent="0.25">
      <c r="A257" s="405">
        <f t="shared" si="11"/>
        <v>7</v>
      </c>
      <c r="B257" s="406" t="s">
        <v>27</v>
      </c>
      <c r="C257" s="405" t="s">
        <v>64</v>
      </c>
      <c r="D257" s="31">
        <v>21</v>
      </c>
      <c r="E257" s="59">
        <v>83312</v>
      </c>
      <c r="F257" s="187">
        <f t="shared" si="12"/>
        <v>1749552</v>
      </c>
    </row>
    <row r="258" spans="1:6" x14ac:dyDescent="0.25">
      <c r="A258" s="405">
        <f t="shared" si="11"/>
        <v>8</v>
      </c>
      <c r="B258" s="18" t="s">
        <v>28</v>
      </c>
      <c r="C258" s="20"/>
      <c r="D258" s="20"/>
      <c r="E258" s="59"/>
      <c r="F258" s="187" t="s">
        <v>1</v>
      </c>
    </row>
    <row r="259" spans="1:6" x14ac:dyDescent="0.25">
      <c r="A259" s="405">
        <f t="shared" si="11"/>
        <v>9</v>
      </c>
      <c r="B259" s="55" t="s">
        <v>29</v>
      </c>
      <c r="C259" s="405" t="s">
        <v>64</v>
      </c>
      <c r="D259" s="31">
        <v>122</v>
      </c>
      <c r="E259" s="59">
        <v>26317</v>
      </c>
      <c r="F259" s="187">
        <f t="shared" si="12"/>
        <v>3210674</v>
      </c>
    </row>
    <row r="260" spans="1:6" x14ac:dyDescent="0.25">
      <c r="A260" s="405">
        <f t="shared" si="11"/>
        <v>10</v>
      </c>
      <c r="B260" s="55" t="s">
        <v>148</v>
      </c>
      <c r="C260" s="405" t="s">
        <v>18</v>
      </c>
      <c r="D260" s="31">
        <v>30</v>
      </c>
      <c r="E260" s="59">
        <v>31128</v>
      </c>
      <c r="F260" s="187">
        <f t="shared" si="12"/>
        <v>933840</v>
      </c>
    </row>
    <row r="261" spans="1:6" ht="29.25" x14ac:dyDescent="0.25">
      <c r="A261" s="405">
        <f t="shared" si="11"/>
        <v>11</v>
      </c>
      <c r="B261" s="406" t="s">
        <v>32</v>
      </c>
      <c r="C261" s="405" t="s">
        <v>64</v>
      </c>
      <c r="D261" s="31">
        <v>71</v>
      </c>
      <c r="E261" s="59">
        <v>32749</v>
      </c>
      <c r="F261" s="187">
        <f t="shared" si="12"/>
        <v>2325179</v>
      </c>
    </row>
    <row r="262" spans="1:6" ht="30" x14ac:dyDescent="0.25">
      <c r="A262" s="405">
        <f t="shared" si="11"/>
        <v>12</v>
      </c>
      <c r="B262" s="188" t="s">
        <v>33</v>
      </c>
      <c r="C262" s="20"/>
      <c r="D262" s="20"/>
      <c r="E262" s="59"/>
      <c r="F262" s="187" t="s">
        <v>1</v>
      </c>
    </row>
    <row r="263" spans="1:6" ht="29.25" x14ac:dyDescent="0.25">
      <c r="A263" s="405">
        <f t="shared" si="11"/>
        <v>13</v>
      </c>
      <c r="B263" s="406" t="s">
        <v>66</v>
      </c>
      <c r="C263" s="405" t="s">
        <v>18</v>
      </c>
      <c r="D263" s="31">
        <v>90</v>
      </c>
      <c r="E263" s="59">
        <v>23781</v>
      </c>
      <c r="F263" s="187">
        <f t="shared" si="12"/>
        <v>2140290</v>
      </c>
    </row>
    <row r="264" spans="1:6" ht="57" x14ac:dyDescent="0.25">
      <c r="A264" s="405">
        <f t="shared" si="11"/>
        <v>14</v>
      </c>
      <c r="B264" s="57" t="s">
        <v>35</v>
      </c>
      <c r="C264" s="405" t="s">
        <v>18</v>
      </c>
      <c r="D264" s="31">
        <v>1</v>
      </c>
      <c r="E264" s="59">
        <v>637411</v>
      </c>
      <c r="F264" s="187">
        <f t="shared" si="12"/>
        <v>637411</v>
      </c>
    </row>
    <row r="265" spans="1:6" ht="43.5" x14ac:dyDescent="0.25">
      <c r="A265" s="405">
        <f t="shared" si="11"/>
        <v>15</v>
      </c>
      <c r="B265" s="406" t="s">
        <v>276</v>
      </c>
      <c r="C265" s="405" t="s">
        <v>37</v>
      </c>
      <c r="D265" s="31">
        <v>2</v>
      </c>
      <c r="E265" s="59">
        <v>777600</v>
      </c>
      <c r="F265" s="187">
        <f t="shared" si="12"/>
        <v>1555200</v>
      </c>
    </row>
    <row r="266" spans="1:6" x14ac:dyDescent="0.25">
      <c r="A266" s="405">
        <f t="shared" si="11"/>
        <v>16</v>
      </c>
      <c r="B266" s="406" t="s">
        <v>38</v>
      </c>
      <c r="C266" s="405" t="s">
        <v>37</v>
      </c>
      <c r="D266" s="31">
        <v>2</v>
      </c>
      <c r="E266" s="59">
        <v>540447</v>
      </c>
      <c r="F266" s="187">
        <f t="shared" si="12"/>
        <v>1080894</v>
      </c>
    </row>
    <row r="267" spans="1:6" ht="29.25" x14ac:dyDescent="0.25">
      <c r="A267" s="405">
        <f t="shared" si="11"/>
        <v>17</v>
      </c>
      <c r="B267" s="406" t="s">
        <v>39</v>
      </c>
      <c r="C267" s="405" t="s">
        <v>18</v>
      </c>
      <c r="D267" s="31">
        <v>78</v>
      </c>
      <c r="E267" s="59">
        <v>13802</v>
      </c>
      <c r="F267" s="187">
        <f t="shared" si="12"/>
        <v>1076556</v>
      </c>
    </row>
    <row r="268" spans="1:6" ht="43.5" x14ac:dyDescent="0.25">
      <c r="A268" s="405">
        <f t="shared" si="11"/>
        <v>18</v>
      </c>
      <c r="B268" s="406" t="s">
        <v>40</v>
      </c>
      <c r="C268" s="405" t="s">
        <v>23</v>
      </c>
      <c r="D268" s="31">
        <v>15</v>
      </c>
      <c r="E268" s="59">
        <v>399818</v>
      </c>
      <c r="F268" s="187">
        <f t="shared" si="12"/>
        <v>5997270</v>
      </c>
    </row>
    <row r="269" spans="1:6" x14ac:dyDescent="0.25">
      <c r="A269" s="405">
        <f t="shared" si="11"/>
        <v>19</v>
      </c>
      <c r="B269" s="55" t="s">
        <v>67</v>
      </c>
      <c r="C269" s="404" t="s">
        <v>23</v>
      </c>
      <c r="D269" s="61">
        <v>15</v>
      </c>
      <c r="E269" s="242">
        <v>43482</v>
      </c>
      <c r="F269" s="187">
        <f t="shared" si="12"/>
        <v>652230</v>
      </c>
    </row>
    <row r="270" spans="1:6" x14ac:dyDescent="0.25">
      <c r="A270" s="405">
        <f t="shared" si="11"/>
        <v>20</v>
      </c>
      <c r="B270" s="55" t="s">
        <v>42</v>
      </c>
      <c r="C270" s="404" t="s">
        <v>23</v>
      </c>
      <c r="D270" s="61">
        <v>4</v>
      </c>
      <c r="E270" s="242">
        <v>90312</v>
      </c>
      <c r="F270" s="187">
        <f t="shared" si="12"/>
        <v>361248</v>
      </c>
    </row>
    <row r="271" spans="1:6" x14ac:dyDescent="0.25">
      <c r="A271" s="405">
        <f t="shared" si="11"/>
        <v>21</v>
      </c>
      <c r="B271" s="18" t="s">
        <v>43</v>
      </c>
      <c r="C271" s="20"/>
      <c r="D271" s="20"/>
      <c r="E271" s="242"/>
      <c r="F271" s="187" t="s">
        <v>1</v>
      </c>
    </row>
    <row r="272" spans="1:6" ht="29.25" x14ac:dyDescent="0.25">
      <c r="A272" s="405">
        <f>A271+1</f>
        <v>22</v>
      </c>
      <c r="B272" s="406" t="s">
        <v>45</v>
      </c>
      <c r="C272" s="404" t="s">
        <v>64</v>
      </c>
      <c r="D272" s="61">
        <v>70</v>
      </c>
      <c r="E272" s="242">
        <v>22131</v>
      </c>
      <c r="F272" s="187">
        <f t="shared" si="12"/>
        <v>1549170</v>
      </c>
    </row>
    <row r="273" spans="1:6" x14ac:dyDescent="0.25">
      <c r="A273" s="405">
        <f t="shared" si="11"/>
        <v>23</v>
      </c>
      <c r="B273" s="55" t="s">
        <v>46</v>
      </c>
      <c r="C273" s="404" t="s">
        <v>64</v>
      </c>
      <c r="D273" s="61">
        <v>29</v>
      </c>
      <c r="E273" s="242">
        <v>144847</v>
      </c>
      <c r="F273" s="187">
        <f t="shared" si="12"/>
        <v>4200563</v>
      </c>
    </row>
    <row r="274" spans="1:6" x14ac:dyDescent="0.25">
      <c r="A274" s="405">
        <f t="shared" si="11"/>
        <v>24</v>
      </c>
      <c r="B274" s="18" t="s">
        <v>48</v>
      </c>
      <c r="C274" s="20"/>
      <c r="D274" s="20"/>
      <c r="E274" s="242"/>
      <c r="F274" s="187" t="s">
        <v>1</v>
      </c>
    </row>
    <row r="275" spans="1:6" ht="29.25" x14ac:dyDescent="0.25">
      <c r="A275" s="405">
        <f t="shared" si="11"/>
        <v>25</v>
      </c>
      <c r="B275" s="406" t="s">
        <v>49</v>
      </c>
      <c r="C275" s="404" t="s">
        <v>64</v>
      </c>
      <c r="D275" s="61">
        <v>1</v>
      </c>
      <c r="E275" s="242">
        <v>605480</v>
      </c>
      <c r="F275" s="187">
        <f t="shared" si="12"/>
        <v>605480</v>
      </c>
    </row>
    <row r="276" spans="1:6" ht="29.25" x14ac:dyDescent="0.25">
      <c r="A276" s="405">
        <f t="shared" si="11"/>
        <v>26</v>
      </c>
      <c r="B276" s="406" t="s">
        <v>50</v>
      </c>
      <c r="C276" s="404" t="s">
        <v>64</v>
      </c>
      <c r="D276" s="61">
        <v>2</v>
      </c>
      <c r="E276" s="242">
        <v>822268</v>
      </c>
      <c r="F276" s="187">
        <f t="shared" si="12"/>
        <v>1644536</v>
      </c>
    </row>
    <row r="277" spans="1:6" x14ac:dyDescent="0.25">
      <c r="A277" s="405">
        <f t="shared" si="11"/>
        <v>27</v>
      </c>
      <c r="B277" s="18" t="s">
        <v>51</v>
      </c>
      <c r="C277" s="20"/>
      <c r="D277" s="20"/>
      <c r="E277" s="242"/>
      <c r="F277" s="187" t="s">
        <v>1</v>
      </c>
    </row>
    <row r="278" spans="1:6" x14ac:dyDescent="0.25">
      <c r="A278" s="405">
        <f t="shared" si="11"/>
        <v>28</v>
      </c>
      <c r="B278" s="55" t="s">
        <v>52</v>
      </c>
      <c r="C278" s="404" t="s">
        <v>53</v>
      </c>
      <c r="D278" s="61">
        <v>36</v>
      </c>
      <c r="E278" s="242">
        <v>5922</v>
      </c>
      <c r="F278" s="187">
        <f t="shared" si="12"/>
        <v>213192</v>
      </c>
    </row>
    <row r="279" spans="1:6" x14ac:dyDescent="0.25">
      <c r="A279" s="403"/>
      <c r="B279" s="188" t="s">
        <v>56</v>
      </c>
      <c r="C279" s="54"/>
      <c r="D279" s="130"/>
      <c r="E279" s="28"/>
      <c r="F279" s="79">
        <f>SUM(F251:F278)</f>
        <v>35843879</v>
      </c>
    </row>
    <row r="280" spans="1:6" x14ac:dyDescent="0.25">
      <c r="A280" s="19"/>
      <c r="B280" s="19" t="s">
        <v>60</v>
      </c>
      <c r="C280" s="19"/>
      <c r="D280" s="19"/>
      <c r="E280" s="19"/>
      <c r="F280" s="29">
        <f>ROUND(F279/1.3495,0)</f>
        <v>26560859</v>
      </c>
    </row>
    <row r="281" spans="1:6" x14ac:dyDescent="0.25">
      <c r="A281" s="19"/>
      <c r="B281" s="19" t="s">
        <v>61</v>
      </c>
      <c r="C281" s="131">
        <v>0.24</v>
      </c>
      <c r="D281" s="19"/>
      <c r="E281" s="19"/>
      <c r="F281" s="29">
        <f>ROUND(F280*C281,0)</f>
        <v>6374606</v>
      </c>
    </row>
    <row r="282" spans="1:6" x14ac:dyDescent="0.25">
      <c r="A282" s="19"/>
      <c r="B282" s="19" t="s">
        <v>57</v>
      </c>
      <c r="C282" s="131">
        <v>0.05</v>
      </c>
      <c r="D282" s="19"/>
      <c r="E282" s="19"/>
      <c r="F282" s="29">
        <f>ROUND(F280*C282,0)</f>
        <v>1328043</v>
      </c>
    </row>
    <row r="283" spans="1:6" x14ac:dyDescent="0.25">
      <c r="A283" s="19"/>
      <c r="B283" s="19" t="s">
        <v>62</v>
      </c>
      <c r="C283" s="131">
        <v>0.05</v>
      </c>
      <c r="D283" s="19"/>
      <c r="E283" s="19"/>
      <c r="F283" s="29">
        <f>ROUND(F280*C283,0)</f>
        <v>1328043</v>
      </c>
    </row>
    <row r="284" spans="1:6" x14ac:dyDescent="0.25">
      <c r="A284" s="19"/>
      <c r="B284" s="132" t="s">
        <v>63</v>
      </c>
      <c r="C284" s="133">
        <v>0.19</v>
      </c>
      <c r="D284" s="120"/>
      <c r="E284" s="120"/>
      <c r="F284" s="35">
        <f>ROUND(F283*19%,0)</f>
        <v>252328</v>
      </c>
    </row>
    <row r="285" spans="1:6" x14ac:dyDescent="0.25">
      <c r="A285" s="19"/>
      <c r="B285" s="18" t="s">
        <v>56</v>
      </c>
      <c r="C285" s="19"/>
      <c r="D285" s="19"/>
      <c r="E285" s="19"/>
      <c r="F285" s="30">
        <f>SUM(F280:F284)</f>
        <v>35843879</v>
      </c>
    </row>
    <row r="287" spans="1:6" x14ac:dyDescent="0.25">
      <c r="A287" s="422" t="s">
        <v>1017</v>
      </c>
      <c r="B287" s="422"/>
      <c r="C287" s="422"/>
      <c r="D287" s="422"/>
      <c r="E287" s="422"/>
      <c r="F287" s="422"/>
    </row>
    <row r="288" spans="1:6" x14ac:dyDescent="0.25">
      <c r="A288" s="420" t="s">
        <v>10</v>
      </c>
      <c r="B288" s="420" t="s">
        <v>0</v>
      </c>
      <c r="C288" s="420" t="s">
        <v>11</v>
      </c>
      <c r="D288" s="420" t="s">
        <v>12</v>
      </c>
      <c r="E288" s="420"/>
      <c r="F288" s="420"/>
    </row>
    <row r="289" spans="1:6" x14ac:dyDescent="0.25">
      <c r="A289" s="420"/>
      <c r="B289" s="420"/>
      <c r="C289" s="420"/>
      <c r="D289" s="54" t="s">
        <v>13</v>
      </c>
      <c r="E289" s="54" t="s">
        <v>14</v>
      </c>
      <c r="F289" s="54" t="s">
        <v>15</v>
      </c>
    </row>
    <row r="290" spans="1:6" x14ac:dyDescent="0.25">
      <c r="A290" s="411">
        <f t="shared" ref="A290:A317" si="13">A289+1</f>
        <v>1</v>
      </c>
      <c r="B290" s="18" t="s">
        <v>16</v>
      </c>
      <c r="C290" s="420"/>
      <c r="D290" s="420"/>
      <c r="E290" s="420"/>
      <c r="F290" s="20"/>
    </row>
    <row r="291" spans="1:6" ht="29.25" x14ac:dyDescent="0.25">
      <c r="A291" s="411">
        <f t="shared" si="13"/>
        <v>2</v>
      </c>
      <c r="B291" s="412" t="s">
        <v>17</v>
      </c>
      <c r="C291" s="411" t="s">
        <v>18</v>
      </c>
      <c r="D291" s="31">
        <v>90</v>
      </c>
      <c r="E291" s="59">
        <v>5214</v>
      </c>
      <c r="F291" s="187">
        <f t="shared" ref="F291:F293" si="14">ROUND(D291*E291,0)</f>
        <v>469260</v>
      </c>
    </row>
    <row r="292" spans="1:6" ht="29.25" x14ac:dyDescent="0.25">
      <c r="A292" s="411">
        <f>A291+1</f>
        <v>3</v>
      </c>
      <c r="B292" s="412" t="s">
        <v>21</v>
      </c>
      <c r="C292" s="411" t="s">
        <v>18</v>
      </c>
      <c r="D292" s="31">
        <v>192</v>
      </c>
      <c r="E292" s="59">
        <v>13608</v>
      </c>
      <c r="F292" s="187">
        <f t="shared" si="14"/>
        <v>2612736</v>
      </c>
    </row>
    <row r="293" spans="1:6" x14ac:dyDescent="0.25">
      <c r="A293" s="411">
        <f t="shared" si="13"/>
        <v>4</v>
      </c>
      <c r="B293" s="55" t="s">
        <v>22</v>
      </c>
      <c r="C293" s="411" t="s">
        <v>23</v>
      </c>
      <c r="D293" s="31">
        <v>2</v>
      </c>
      <c r="E293" s="59">
        <v>155349</v>
      </c>
      <c r="F293" s="187">
        <f t="shared" si="14"/>
        <v>310698</v>
      </c>
    </row>
    <row r="294" spans="1:6" x14ac:dyDescent="0.25">
      <c r="A294" s="411">
        <f t="shared" si="13"/>
        <v>5</v>
      </c>
      <c r="B294" s="18" t="s">
        <v>25</v>
      </c>
      <c r="C294" s="20"/>
      <c r="D294" s="20"/>
      <c r="E294" s="59"/>
      <c r="F294" s="187" t="s">
        <v>1</v>
      </c>
    </row>
    <row r="295" spans="1:6" x14ac:dyDescent="0.25">
      <c r="A295" s="411">
        <f t="shared" si="13"/>
        <v>6</v>
      </c>
      <c r="B295" s="56" t="s">
        <v>26</v>
      </c>
      <c r="C295" s="411" t="s">
        <v>18</v>
      </c>
      <c r="D295" s="31">
        <v>330</v>
      </c>
      <c r="E295" s="59">
        <v>7630</v>
      </c>
      <c r="F295" s="187">
        <f t="shared" ref="F295:F296" si="15">ROUND(D295*E295,0)</f>
        <v>2517900</v>
      </c>
    </row>
    <row r="296" spans="1:6" ht="43.5" x14ac:dyDescent="0.25">
      <c r="A296" s="411">
        <f t="shared" si="13"/>
        <v>7</v>
      </c>
      <c r="B296" s="412" t="s">
        <v>27</v>
      </c>
      <c r="C296" s="411" t="s">
        <v>64</v>
      </c>
      <c r="D296" s="31">
        <v>21</v>
      </c>
      <c r="E296" s="59">
        <v>83312</v>
      </c>
      <c r="F296" s="187">
        <f t="shared" si="15"/>
        <v>1749552</v>
      </c>
    </row>
    <row r="297" spans="1:6" x14ac:dyDescent="0.25">
      <c r="A297" s="411">
        <f t="shared" si="13"/>
        <v>8</v>
      </c>
      <c r="B297" s="18" t="s">
        <v>28</v>
      </c>
      <c r="C297" s="20"/>
      <c r="D297" s="20"/>
      <c r="E297" s="59"/>
      <c r="F297" s="187" t="s">
        <v>1</v>
      </c>
    </row>
    <row r="298" spans="1:6" x14ac:dyDescent="0.25">
      <c r="A298" s="411">
        <f t="shared" si="13"/>
        <v>9</v>
      </c>
      <c r="B298" s="55" t="s">
        <v>29</v>
      </c>
      <c r="C298" s="411" t="s">
        <v>64</v>
      </c>
      <c r="D298" s="31">
        <v>122</v>
      </c>
      <c r="E298" s="59">
        <v>26317</v>
      </c>
      <c r="F298" s="187">
        <f t="shared" ref="F298:F300" si="16">ROUND(D298*E298,0)</f>
        <v>3210674</v>
      </c>
    </row>
    <row r="299" spans="1:6" x14ac:dyDescent="0.25">
      <c r="A299" s="411">
        <f t="shared" si="13"/>
        <v>10</v>
      </c>
      <c r="B299" s="55" t="s">
        <v>148</v>
      </c>
      <c r="C299" s="411" t="s">
        <v>18</v>
      </c>
      <c r="D299" s="31">
        <v>30</v>
      </c>
      <c r="E299" s="59">
        <v>31128</v>
      </c>
      <c r="F299" s="187">
        <f t="shared" si="16"/>
        <v>933840</v>
      </c>
    </row>
    <row r="300" spans="1:6" ht="29.25" x14ac:dyDescent="0.25">
      <c r="A300" s="411">
        <f t="shared" si="13"/>
        <v>11</v>
      </c>
      <c r="B300" s="412" t="s">
        <v>32</v>
      </c>
      <c r="C300" s="411" t="s">
        <v>64</v>
      </c>
      <c r="D300" s="31">
        <v>71</v>
      </c>
      <c r="E300" s="59">
        <v>32749</v>
      </c>
      <c r="F300" s="187">
        <f t="shared" si="16"/>
        <v>2325179</v>
      </c>
    </row>
    <row r="301" spans="1:6" ht="30" x14ac:dyDescent="0.25">
      <c r="A301" s="411">
        <f t="shared" si="13"/>
        <v>12</v>
      </c>
      <c r="B301" s="188" t="s">
        <v>33</v>
      </c>
      <c r="C301" s="20"/>
      <c r="D301" s="20"/>
      <c r="E301" s="59"/>
      <c r="F301" s="187" t="s">
        <v>1</v>
      </c>
    </row>
    <row r="302" spans="1:6" ht="29.25" x14ac:dyDescent="0.25">
      <c r="A302" s="411">
        <f t="shared" si="13"/>
        <v>13</v>
      </c>
      <c r="B302" s="412" t="s">
        <v>66</v>
      </c>
      <c r="C302" s="411" t="s">
        <v>18</v>
      </c>
      <c r="D302" s="31">
        <v>90</v>
      </c>
      <c r="E302" s="59">
        <v>23781</v>
      </c>
      <c r="F302" s="187">
        <f t="shared" ref="F302:F309" si="17">ROUND(D302*E302,0)</f>
        <v>2140290</v>
      </c>
    </row>
    <row r="303" spans="1:6" ht="57" x14ac:dyDescent="0.25">
      <c r="A303" s="411">
        <f t="shared" si="13"/>
        <v>14</v>
      </c>
      <c r="B303" s="57" t="s">
        <v>35</v>
      </c>
      <c r="C303" s="411" t="s">
        <v>18</v>
      </c>
      <c r="D303" s="31">
        <v>1</v>
      </c>
      <c r="E303" s="59">
        <v>637411</v>
      </c>
      <c r="F303" s="187">
        <f t="shared" si="17"/>
        <v>637411</v>
      </c>
    </row>
    <row r="304" spans="1:6" ht="43.5" x14ac:dyDescent="0.25">
      <c r="A304" s="411">
        <f t="shared" si="13"/>
        <v>15</v>
      </c>
      <c r="B304" s="412" t="s">
        <v>276</v>
      </c>
      <c r="C304" s="411" t="s">
        <v>37</v>
      </c>
      <c r="D304" s="31">
        <v>2</v>
      </c>
      <c r="E304" s="59">
        <v>777600</v>
      </c>
      <c r="F304" s="187">
        <f t="shared" si="17"/>
        <v>1555200</v>
      </c>
    </row>
    <row r="305" spans="1:6" x14ac:dyDescent="0.25">
      <c r="A305" s="411">
        <f t="shared" si="13"/>
        <v>16</v>
      </c>
      <c r="B305" s="412" t="s">
        <v>38</v>
      </c>
      <c r="C305" s="411" t="s">
        <v>37</v>
      </c>
      <c r="D305" s="31">
        <v>2</v>
      </c>
      <c r="E305" s="59">
        <v>540447</v>
      </c>
      <c r="F305" s="187">
        <f t="shared" si="17"/>
        <v>1080894</v>
      </c>
    </row>
    <row r="306" spans="1:6" ht="29.25" x14ac:dyDescent="0.25">
      <c r="A306" s="411">
        <f t="shared" si="13"/>
        <v>17</v>
      </c>
      <c r="B306" s="412" t="s">
        <v>39</v>
      </c>
      <c r="C306" s="411" t="s">
        <v>18</v>
      </c>
      <c r="D306" s="31">
        <v>78</v>
      </c>
      <c r="E306" s="59">
        <v>13802</v>
      </c>
      <c r="F306" s="187">
        <f t="shared" si="17"/>
        <v>1076556</v>
      </c>
    </row>
    <row r="307" spans="1:6" ht="43.5" x14ac:dyDescent="0.25">
      <c r="A307" s="411">
        <f t="shared" si="13"/>
        <v>18</v>
      </c>
      <c r="B307" s="412" t="s">
        <v>40</v>
      </c>
      <c r="C307" s="411" t="s">
        <v>23</v>
      </c>
      <c r="D307" s="31">
        <v>25</v>
      </c>
      <c r="E307" s="59">
        <v>399818</v>
      </c>
      <c r="F307" s="187">
        <f t="shared" si="17"/>
        <v>9995450</v>
      </c>
    </row>
    <row r="308" spans="1:6" x14ac:dyDescent="0.25">
      <c r="A308" s="411">
        <f t="shared" si="13"/>
        <v>19</v>
      </c>
      <c r="B308" s="55" t="s">
        <v>67</v>
      </c>
      <c r="C308" s="410" t="s">
        <v>23</v>
      </c>
      <c r="D308" s="61">
        <v>25</v>
      </c>
      <c r="E308" s="242">
        <v>43482</v>
      </c>
      <c r="F308" s="187">
        <f t="shared" si="17"/>
        <v>1087050</v>
      </c>
    </row>
    <row r="309" spans="1:6" x14ac:dyDescent="0.25">
      <c r="A309" s="411">
        <f t="shared" si="13"/>
        <v>20</v>
      </c>
      <c r="B309" s="55" t="s">
        <v>42</v>
      </c>
      <c r="C309" s="410" t="s">
        <v>23</v>
      </c>
      <c r="D309" s="61">
        <v>4</v>
      </c>
      <c r="E309" s="242">
        <v>90312</v>
      </c>
      <c r="F309" s="187">
        <f t="shared" si="17"/>
        <v>361248</v>
      </c>
    </row>
    <row r="310" spans="1:6" x14ac:dyDescent="0.25">
      <c r="A310" s="411">
        <f t="shared" si="13"/>
        <v>21</v>
      </c>
      <c r="B310" s="18" t="s">
        <v>43</v>
      </c>
      <c r="C310" s="20"/>
      <c r="D310" s="20"/>
      <c r="E310" s="242"/>
      <c r="F310" s="187" t="s">
        <v>1</v>
      </c>
    </row>
    <row r="311" spans="1:6" ht="29.25" x14ac:dyDescent="0.25">
      <c r="A311" s="411">
        <f>A310+1</f>
        <v>22</v>
      </c>
      <c r="B311" s="412" t="s">
        <v>45</v>
      </c>
      <c r="C311" s="410" t="s">
        <v>64</v>
      </c>
      <c r="D311" s="61">
        <v>70</v>
      </c>
      <c r="E311" s="242">
        <v>22131</v>
      </c>
      <c r="F311" s="187">
        <f t="shared" ref="F311:F312" si="18">ROUND(D311*E311,0)</f>
        <v>1549170</v>
      </c>
    </row>
    <row r="312" spans="1:6" x14ac:dyDescent="0.25">
      <c r="A312" s="411">
        <f t="shared" si="13"/>
        <v>23</v>
      </c>
      <c r="B312" s="55" t="s">
        <v>46</v>
      </c>
      <c r="C312" s="410" t="s">
        <v>64</v>
      </c>
      <c r="D312" s="61">
        <v>29</v>
      </c>
      <c r="E312" s="242">
        <v>144847</v>
      </c>
      <c r="F312" s="187">
        <f t="shared" si="18"/>
        <v>4200563</v>
      </c>
    </row>
    <row r="313" spans="1:6" x14ac:dyDescent="0.25">
      <c r="A313" s="411">
        <f t="shared" si="13"/>
        <v>24</v>
      </c>
      <c r="B313" s="18" t="s">
        <v>48</v>
      </c>
      <c r="C313" s="20"/>
      <c r="D313" s="20"/>
      <c r="E313" s="242"/>
      <c r="F313" s="187" t="s">
        <v>1</v>
      </c>
    </row>
    <row r="314" spans="1:6" ht="29.25" x14ac:dyDescent="0.25">
      <c r="A314" s="411">
        <f t="shared" si="13"/>
        <v>25</v>
      </c>
      <c r="B314" s="412" t="s">
        <v>49</v>
      </c>
      <c r="C314" s="410" t="s">
        <v>64</v>
      </c>
      <c r="D314" s="61">
        <v>1</v>
      </c>
      <c r="E314" s="242">
        <v>605480</v>
      </c>
      <c r="F314" s="187">
        <f t="shared" ref="F314:F315" si="19">ROUND(D314*E314,0)</f>
        <v>605480</v>
      </c>
    </row>
    <row r="315" spans="1:6" ht="29.25" x14ac:dyDescent="0.25">
      <c r="A315" s="411">
        <f t="shared" si="13"/>
        <v>26</v>
      </c>
      <c r="B315" s="412" t="s">
        <v>50</v>
      </c>
      <c r="C315" s="410" t="s">
        <v>64</v>
      </c>
      <c r="D315" s="61">
        <v>2</v>
      </c>
      <c r="E315" s="242">
        <v>822268</v>
      </c>
      <c r="F315" s="187">
        <f t="shared" si="19"/>
        <v>1644536</v>
      </c>
    </row>
    <row r="316" spans="1:6" x14ac:dyDescent="0.25">
      <c r="A316" s="411">
        <f t="shared" si="13"/>
        <v>27</v>
      </c>
      <c r="B316" s="18" t="s">
        <v>51</v>
      </c>
      <c r="C316" s="20"/>
      <c r="D316" s="20"/>
      <c r="E316" s="242"/>
      <c r="F316" s="187" t="s">
        <v>1</v>
      </c>
    </row>
    <row r="317" spans="1:6" x14ac:dyDescent="0.25">
      <c r="A317" s="411">
        <f t="shared" si="13"/>
        <v>28</v>
      </c>
      <c r="B317" s="55" t="s">
        <v>52</v>
      </c>
      <c r="C317" s="410" t="s">
        <v>53</v>
      </c>
      <c r="D317" s="61">
        <v>36</v>
      </c>
      <c r="E317" s="242">
        <v>5922</v>
      </c>
      <c r="F317" s="187">
        <f t="shared" ref="F317" si="20">ROUND(D317*E317,0)</f>
        <v>213192</v>
      </c>
    </row>
    <row r="318" spans="1:6" x14ac:dyDescent="0.25">
      <c r="A318" s="409"/>
      <c r="B318" s="188" t="s">
        <v>56</v>
      </c>
      <c r="C318" s="54"/>
      <c r="D318" s="130"/>
      <c r="E318" s="28"/>
      <c r="F318" s="79">
        <f>SUM(F290:F317)</f>
        <v>40276879</v>
      </c>
    </row>
    <row r="319" spans="1:6" x14ac:dyDescent="0.25">
      <c r="A319" s="19"/>
      <c r="B319" s="19" t="s">
        <v>60</v>
      </c>
      <c r="C319" s="19"/>
      <c r="D319" s="19"/>
      <c r="E319" s="19"/>
      <c r="F319" s="29">
        <f>ROUND(F318/1.3495,0)</f>
        <v>29845779</v>
      </c>
    </row>
    <row r="320" spans="1:6" x14ac:dyDescent="0.25">
      <c r="A320" s="19"/>
      <c r="B320" s="19" t="s">
        <v>61</v>
      </c>
      <c r="C320" s="131">
        <v>0.24</v>
      </c>
      <c r="D320" s="19"/>
      <c r="E320" s="19"/>
      <c r="F320" s="29">
        <f>ROUND(F319*C320,0)</f>
        <v>7162987</v>
      </c>
    </row>
    <row r="321" spans="1:6" x14ac:dyDescent="0.25">
      <c r="A321" s="19"/>
      <c r="B321" s="19" t="s">
        <v>57</v>
      </c>
      <c r="C321" s="131">
        <v>0.05</v>
      </c>
      <c r="D321" s="19"/>
      <c r="E321" s="19"/>
      <c r="F321" s="29">
        <f>ROUND(F319*C321,0)</f>
        <v>1492289</v>
      </c>
    </row>
    <row r="322" spans="1:6" x14ac:dyDescent="0.25">
      <c r="A322" s="19"/>
      <c r="B322" s="19" t="s">
        <v>62</v>
      </c>
      <c r="C322" s="131">
        <v>0.05</v>
      </c>
      <c r="D322" s="19"/>
      <c r="E322" s="19"/>
      <c r="F322" s="29">
        <f>ROUND(F319*C322,0)</f>
        <v>1492289</v>
      </c>
    </row>
    <row r="323" spans="1:6" x14ac:dyDescent="0.25">
      <c r="A323" s="19"/>
      <c r="B323" s="132" t="s">
        <v>63</v>
      </c>
      <c r="C323" s="133">
        <v>0.19</v>
      </c>
      <c r="D323" s="120"/>
      <c r="E323" s="120"/>
      <c r="F323" s="35">
        <f>ROUND(F322*19%,0)</f>
        <v>283535</v>
      </c>
    </row>
    <row r="324" spans="1:6" x14ac:dyDescent="0.25">
      <c r="A324" s="19"/>
      <c r="B324" s="18" t="s">
        <v>56</v>
      </c>
      <c r="C324" s="19"/>
      <c r="D324" s="19"/>
      <c r="E324" s="19"/>
      <c r="F324" s="30">
        <f>SUM(F319:F323)</f>
        <v>40276879</v>
      </c>
    </row>
    <row r="327" spans="1:6" x14ac:dyDescent="0.25">
      <c r="A327" s="422" t="s">
        <v>733</v>
      </c>
      <c r="B327" s="422"/>
      <c r="C327" s="422"/>
      <c r="D327" s="422"/>
      <c r="E327" s="422"/>
      <c r="F327" s="422"/>
    </row>
    <row r="328" spans="1:6" x14ac:dyDescent="0.25">
      <c r="A328" s="420" t="s">
        <v>10</v>
      </c>
      <c r="B328" s="420" t="s">
        <v>0</v>
      </c>
      <c r="C328" s="420" t="s">
        <v>11</v>
      </c>
      <c r="D328" s="420" t="s">
        <v>12</v>
      </c>
      <c r="E328" s="420"/>
      <c r="F328" s="420"/>
    </row>
    <row r="329" spans="1:6" x14ac:dyDescent="0.25">
      <c r="A329" s="420"/>
      <c r="B329" s="420"/>
      <c r="C329" s="420"/>
      <c r="D329" s="54" t="s">
        <v>13</v>
      </c>
      <c r="E329" s="54" t="s">
        <v>14</v>
      </c>
      <c r="F329" s="54" t="s">
        <v>15</v>
      </c>
    </row>
    <row r="330" spans="1:6" x14ac:dyDescent="0.25">
      <c r="A330" s="405">
        <f t="shared" ref="A330:A359" si="21">A329+1</f>
        <v>1</v>
      </c>
      <c r="B330" s="18" t="s">
        <v>16</v>
      </c>
      <c r="C330" s="420"/>
      <c r="D330" s="420"/>
      <c r="E330" s="420"/>
      <c r="F330" s="20"/>
    </row>
    <row r="331" spans="1:6" ht="29.25" x14ac:dyDescent="0.25">
      <c r="A331" s="405">
        <f t="shared" si="21"/>
        <v>2</v>
      </c>
      <c r="B331" s="406" t="s">
        <v>17</v>
      </c>
      <c r="C331" s="405" t="s">
        <v>18</v>
      </c>
      <c r="D331" s="31">
        <v>102</v>
      </c>
      <c r="E331" s="59">
        <v>5214</v>
      </c>
      <c r="F331" s="187">
        <f t="shared" ref="F331:F359" si="22">ROUND(D331*E331,0)</f>
        <v>531828</v>
      </c>
    </row>
    <row r="332" spans="1:6" ht="29.25" x14ac:dyDescent="0.25">
      <c r="A332" s="405">
        <f>A331+1</f>
        <v>3</v>
      </c>
      <c r="B332" s="406" t="s">
        <v>21</v>
      </c>
      <c r="C332" s="405" t="s">
        <v>18</v>
      </c>
      <c r="D332" s="31">
        <v>216</v>
      </c>
      <c r="E332" s="59">
        <v>13608</v>
      </c>
      <c r="F332" s="187">
        <f t="shared" si="22"/>
        <v>2939328</v>
      </c>
    </row>
    <row r="333" spans="1:6" x14ac:dyDescent="0.25">
      <c r="A333" s="405">
        <f t="shared" si="21"/>
        <v>4</v>
      </c>
      <c r="B333" s="406" t="s">
        <v>22</v>
      </c>
      <c r="C333" s="405" t="s">
        <v>23</v>
      </c>
      <c r="D333" s="31">
        <v>2</v>
      </c>
      <c r="E333" s="59">
        <v>155349</v>
      </c>
      <c r="F333" s="187">
        <f t="shared" si="22"/>
        <v>310698</v>
      </c>
    </row>
    <row r="334" spans="1:6" x14ac:dyDescent="0.25">
      <c r="A334" s="405">
        <f t="shared" si="21"/>
        <v>5</v>
      </c>
      <c r="B334" s="188" t="s">
        <v>25</v>
      </c>
      <c r="C334" s="20"/>
      <c r="D334" s="20"/>
      <c r="E334" s="59"/>
      <c r="F334" s="187" t="s">
        <v>1</v>
      </c>
    </row>
    <row r="335" spans="1:6" x14ac:dyDescent="0.25">
      <c r="A335" s="405">
        <f t="shared" si="21"/>
        <v>6</v>
      </c>
      <c r="B335" s="56" t="s">
        <v>26</v>
      </c>
      <c r="C335" s="405" t="s">
        <v>18</v>
      </c>
      <c r="D335" s="31">
        <v>300</v>
      </c>
      <c r="E335" s="59">
        <v>7630</v>
      </c>
      <c r="F335" s="187">
        <f t="shared" si="22"/>
        <v>2289000</v>
      </c>
    </row>
    <row r="336" spans="1:6" ht="43.5" x14ac:dyDescent="0.25">
      <c r="A336" s="405">
        <f t="shared" si="21"/>
        <v>7</v>
      </c>
      <c r="B336" s="406" t="s">
        <v>27</v>
      </c>
      <c r="C336" s="405" t="s">
        <v>64</v>
      </c>
      <c r="D336" s="31">
        <v>23</v>
      </c>
      <c r="E336" s="59">
        <v>83312</v>
      </c>
      <c r="F336" s="187">
        <f t="shared" si="22"/>
        <v>1916176</v>
      </c>
    </row>
    <row r="337" spans="1:6" x14ac:dyDescent="0.25">
      <c r="A337" s="405">
        <f t="shared" si="21"/>
        <v>8</v>
      </c>
      <c r="B337" s="188" t="s">
        <v>28</v>
      </c>
      <c r="C337" s="20"/>
      <c r="D337" s="20"/>
      <c r="E337" s="59"/>
      <c r="F337" s="187" t="s">
        <v>1</v>
      </c>
    </row>
    <row r="338" spans="1:6" x14ac:dyDescent="0.25">
      <c r="A338" s="405">
        <f t="shared" si="21"/>
        <v>9</v>
      </c>
      <c r="B338" s="406" t="s">
        <v>29</v>
      </c>
      <c r="C338" s="405" t="s">
        <v>64</v>
      </c>
      <c r="D338" s="31">
        <v>212</v>
      </c>
      <c r="E338" s="59">
        <v>26317</v>
      </c>
      <c r="F338" s="187">
        <f t="shared" si="22"/>
        <v>5579204</v>
      </c>
    </row>
    <row r="339" spans="1:6" x14ac:dyDescent="0.25">
      <c r="A339" s="405">
        <f t="shared" si="21"/>
        <v>10</v>
      </c>
      <c r="B339" s="406" t="s">
        <v>30</v>
      </c>
      <c r="C339" s="405" t="s">
        <v>64</v>
      </c>
      <c r="D339" s="31">
        <v>10</v>
      </c>
      <c r="E339" s="59">
        <v>30682</v>
      </c>
      <c r="F339" s="187">
        <f t="shared" si="22"/>
        <v>306820</v>
      </c>
    </row>
    <row r="340" spans="1:6" x14ac:dyDescent="0.25">
      <c r="A340" s="405">
        <f t="shared" si="21"/>
        <v>11</v>
      </c>
      <c r="B340" s="406" t="s">
        <v>148</v>
      </c>
      <c r="C340" s="405" t="s">
        <v>18</v>
      </c>
      <c r="D340" s="31">
        <v>20</v>
      </c>
      <c r="E340" s="59">
        <v>31128</v>
      </c>
      <c r="F340" s="187">
        <f t="shared" si="22"/>
        <v>622560</v>
      </c>
    </row>
    <row r="341" spans="1:6" ht="29.25" x14ac:dyDescent="0.25">
      <c r="A341" s="405">
        <f t="shared" si="21"/>
        <v>12</v>
      </c>
      <c r="B341" s="406" t="s">
        <v>32</v>
      </c>
      <c r="C341" s="405" t="s">
        <v>64</v>
      </c>
      <c r="D341" s="31">
        <v>77</v>
      </c>
      <c r="E341" s="59">
        <v>32749</v>
      </c>
      <c r="F341" s="187">
        <f t="shared" si="22"/>
        <v>2521673</v>
      </c>
    </row>
    <row r="342" spans="1:6" ht="30" x14ac:dyDescent="0.25">
      <c r="A342" s="405">
        <f t="shared" si="21"/>
        <v>13</v>
      </c>
      <c r="B342" s="188" t="s">
        <v>33</v>
      </c>
      <c r="C342" s="20"/>
      <c r="D342" s="20"/>
      <c r="E342" s="59"/>
      <c r="F342" s="187" t="s">
        <v>1</v>
      </c>
    </row>
    <row r="343" spans="1:6" ht="29.25" x14ac:dyDescent="0.25">
      <c r="A343" s="405">
        <f t="shared" si="21"/>
        <v>14</v>
      </c>
      <c r="B343" s="406" t="s">
        <v>66</v>
      </c>
      <c r="C343" s="405" t="s">
        <v>18</v>
      </c>
      <c r="D343" s="31">
        <v>102</v>
      </c>
      <c r="E343" s="59">
        <v>23781</v>
      </c>
      <c r="F343" s="187">
        <f t="shared" si="22"/>
        <v>2425662</v>
      </c>
    </row>
    <row r="344" spans="1:6" ht="57" x14ac:dyDescent="0.25">
      <c r="A344" s="405">
        <f t="shared" si="21"/>
        <v>15</v>
      </c>
      <c r="B344" s="57" t="s">
        <v>35</v>
      </c>
      <c r="C344" s="405" t="s">
        <v>18</v>
      </c>
      <c r="D344" s="31">
        <v>3</v>
      </c>
      <c r="E344" s="59">
        <v>637411</v>
      </c>
      <c r="F344" s="187">
        <f t="shared" si="22"/>
        <v>1912233</v>
      </c>
    </row>
    <row r="345" spans="1:6" ht="43.5" x14ac:dyDescent="0.25">
      <c r="A345" s="405">
        <f t="shared" si="21"/>
        <v>16</v>
      </c>
      <c r="B345" s="406" t="s">
        <v>276</v>
      </c>
      <c r="C345" s="405" t="s">
        <v>37</v>
      </c>
      <c r="D345" s="31">
        <v>3</v>
      </c>
      <c r="E345" s="59">
        <v>777600</v>
      </c>
      <c r="F345" s="187">
        <f t="shared" si="22"/>
        <v>2332800</v>
      </c>
    </row>
    <row r="346" spans="1:6" x14ac:dyDescent="0.25">
      <c r="A346" s="405">
        <f t="shared" si="21"/>
        <v>17</v>
      </c>
      <c r="B346" s="406" t="s">
        <v>38</v>
      </c>
      <c r="C346" s="405" t="s">
        <v>37</v>
      </c>
      <c r="D346" s="31">
        <v>3</v>
      </c>
      <c r="E346" s="59">
        <v>540447</v>
      </c>
      <c r="F346" s="187">
        <f t="shared" si="22"/>
        <v>1621341</v>
      </c>
    </row>
    <row r="347" spans="1:6" ht="29.25" x14ac:dyDescent="0.25">
      <c r="A347" s="405">
        <f t="shared" si="21"/>
        <v>18</v>
      </c>
      <c r="B347" s="406" t="s">
        <v>39</v>
      </c>
      <c r="C347" s="405" t="s">
        <v>18</v>
      </c>
      <c r="D347" s="31">
        <v>48</v>
      </c>
      <c r="E347" s="59">
        <v>13802</v>
      </c>
      <c r="F347" s="187">
        <f t="shared" si="22"/>
        <v>662496</v>
      </c>
    </row>
    <row r="348" spans="1:6" ht="43.5" x14ac:dyDescent="0.25">
      <c r="A348" s="405">
        <f t="shared" si="21"/>
        <v>19</v>
      </c>
      <c r="B348" s="406" t="s">
        <v>40</v>
      </c>
      <c r="C348" s="405" t="s">
        <v>23</v>
      </c>
      <c r="D348" s="31">
        <v>12</v>
      </c>
      <c r="E348" s="59">
        <v>399818</v>
      </c>
      <c r="F348" s="187">
        <f t="shared" si="22"/>
        <v>4797816</v>
      </c>
    </row>
    <row r="349" spans="1:6" x14ac:dyDescent="0.25">
      <c r="A349" s="405">
        <f t="shared" si="21"/>
        <v>20</v>
      </c>
      <c r="B349" s="406" t="s">
        <v>67</v>
      </c>
      <c r="C349" s="405" t="s">
        <v>23</v>
      </c>
      <c r="D349" s="31">
        <v>12</v>
      </c>
      <c r="E349" s="59">
        <v>43482</v>
      </c>
      <c r="F349" s="187">
        <f t="shared" si="22"/>
        <v>521784</v>
      </c>
    </row>
    <row r="350" spans="1:6" x14ac:dyDescent="0.25">
      <c r="A350" s="405">
        <f t="shared" si="21"/>
        <v>21</v>
      </c>
      <c r="B350" s="406" t="s">
        <v>42</v>
      </c>
      <c r="C350" s="405" t="s">
        <v>23</v>
      </c>
      <c r="D350" s="31">
        <v>2</v>
      </c>
      <c r="E350" s="59">
        <v>90312</v>
      </c>
      <c r="F350" s="187">
        <f t="shared" si="22"/>
        <v>180624</v>
      </c>
    </row>
    <row r="351" spans="1:6" x14ac:dyDescent="0.25">
      <c r="A351" s="405">
        <f t="shared" si="21"/>
        <v>22</v>
      </c>
      <c r="B351" s="188" t="s">
        <v>43</v>
      </c>
      <c r="C351" s="20"/>
      <c r="D351" s="20"/>
      <c r="E351" s="242"/>
      <c r="F351" s="187" t="s">
        <v>1</v>
      </c>
    </row>
    <row r="352" spans="1:6" x14ac:dyDescent="0.25">
      <c r="A352" s="405">
        <f t="shared" si="21"/>
        <v>23</v>
      </c>
      <c r="B352" s="406" t="s">
        <v>44</v>
      </c>
      <c r="C352" s="404" t="s">
        <v>64</v>
      </c>
      <c r="D352" s="61">
        <v>14</v>
      </c>
      <c r="E352" s="242">
        <v>120657</v>
      </c>
      <c r="F352" s="187">
        <f t="shared" si="22"/>
        <v>1689198</v>
      </c>
    </row>
    <row r="353" spans="1:6" ht="29.25" x14ac:dyDescent="0.25">
      <c r="A353" s="405">
        <f t="shared" si="21"/>
        <v>24</v>
      </c>
      <c r="B353" s="406" t="s">
        <v>45</v>
      </c>
      <c r="C353" s="404" t="s">
        <v>64</v>
      </c>
      <c r="D353" s="272">
        <v>157</v>
      </c>
      <c r="E353" s="341">
        <v>22131</v>
      </c>
      <c r="F353" s="342">
        <f t="shared" si="22"/>
        <v>3474567</v>
      </c>
    </row>
    <row r="354" spans="1:6" x14ac:dyDescent="0.25">
      <c r="A354" s="405">
        <f t="shared" si="21"/>
        <v>25</v>
      </c>
      <c r="B354" s="55" t="s">
        <v>46</v>
      </c>
      <c r="C354" s="404" t="s">
        <v>64</v>
      </c>
      <c r="D354" s="272">
        <v>31</v>
      </c>
      <c r="E354" s="341">
        <v>144847</v>
      </c>
      <c r="F354" s="342">
        <f t="shared" si="22"/>
        <v>4490257</v>
      </c>
    </row>
    <row r="355" spans="1:6" x14ac:dyDescent="0.25">
      <c r="A355" s="405">
        <f t="shared" si="21"/>
        <v>26</v>
      </c>
      <c r="B355" s="18" t="s">
        <v>48</v>
      </c>
      <c r="C355" s="20"/>
      <c r="D355" s="195"/>
      <c r="E355" s="341"/>
      <c r="F355" s="342" t="s">
        <v>1</v>
      </c>
    </row>
    <row r="356" spans="1:6" ht="29.25" x14ac:dyDescent="0.25">
      <c r="A356" s="405">
        <f t="shared" si="21"/>
        <v>27</v>
      </c>
      <c r="B356" s="406" t="s">
        <v>49</v>
      </c>
      <c r="C356" s="404" t="s">
        <v>64</v>
      </c>
      <c r="D356" s="272">
        <v>0.5</v>
      </c>
      <c r="E356" s="341">
        <v>605480</v>
      </c>
      <c r="F356" s="342">
        <f t="shared" si="22"/>
        <v>302740</v>
      </c>
    </row>
    <row r="357" spans="1:6" ht="29.25" x14ac:dyDescent="0.25">
      <c r="A357" s="405">
        <f t="shared" si="21"/>
        <v>28</v>
      </c>
      <c r="B357" s="406" t="s">
        <v>50</v>
      </c>
      <c r="C357" s="404" t="s">
        <v>64</v>
      </c>
      <c r="D357" s="272">
        <v>23</v>
      </c>
      <c r="E357" s="341">
        <v>822268</v>
      </c>
      <c r="F357" s="342">
        <f t="shared" si="22"/>
        <v>18912164</v>
      </c>
    </row>
    <row r="358" spans="1:6" x14ac:dyDescent="0.25">
      <c r="A358" s="405">
        <f t="shared" si="21"/>
        <v>29</v>
      </c>
      <c r="B358" s="188" t="s">
        <v>51</v>
      </c>
      <c r="C358" s="20"/>
      <c r="D358" s="20"/>
      <c r="E358" s="242"/>
      <c r="F358" s="187" t="s">
        <v>1</v>
      </c>
    </row>
    <row r="359" spans="1:6" x14ac:dyDescent="0.25">
      <c r="A359" s="405">
        <f t="shared" si="21"/>
        <v>30</v>
      </c>
      <c r="B359" s="406" t="s">
        <v>52</v>
      </c>
      <c r="C359" s="404" t="s">
        <v>53</v>
      </c>
      <c r="D359" s="61">
        <v>60</v>
      </c>
      <c r="E359" s="242">
        <v>5922</v>
      </c>
      <c r="F359" s="187">
        <f t="shared" si="22"/>
        <v>355320</v>
      </c>
    </row>
    <row r="360" spans="1:6" x14ac:dyDescent="0.25">
      <c r="A360" s="403"/>
      <c r="B360" s="188" t="s">
        <v>56</v>
      </c>
      <c r="C360" s="54"/>
      <c r="D360" s="130"/>
      <c r="E360" s="28"/>
      <c r="F360" s="79">
        <f>SUM(F331:F359)</f>
        <v>60696289</v>
      </c>
    </row>
    <row r="361" spans="1:6" x14ac:dyDescent="0.25">
      <c r="A361" s="19"/>
      <c r="B361" s="19" t="s">
        <v>60</v>
      </c>
      <c r="C361" s="19"/>
      <c r="D361" s="19"/>
      <c r="E361" s="19"/>
      <c r="F361" s="29">
        <f>ROUND(F360/1.3495,0)</f>
        <v>44976872</v>
      </c>
    </row>
    <row r="362" spans="1:6" x14ac:dyDescent="0.25">
      <c r="A362" s="19"/>
      <c r="B362" s="19" t="s">
        <v>61</v>
      </c>
      <c r="C362" s="131">
        <v>0.24</v>
      </c>
      <c r="D362" s="19"/>
      <c r="E362" s="19"/>
      <c r="F362" s="29">
        <f>ROUND(F361*C362,0)</f>
        <v>10794449</v>
      </c>
    </row>
    <row r="363" spans="1:6" x14ac:dyDescent="0.25">
      <c r="A363" s="19"/>
      <c r="B363" s="19" t="s">
        <v>57</v>
      </c>
      <c r="C363" s="131">
        <v>0.05</v>
      </c>
      <c r="D363" s="19"/>
      <c r="E363" s="19"/>
      <c r="F363" s="29">
        <f>ROUND(F361*C363,0)</f>
        <v>2248844</v>
      </c>
    </row>
    <row r="364" spans="1:6" x14ac:dyDescent="0.25">
      <c r="A364" s="19"/>
      <c r="B364" s="19" t="s">
        <v>62</v>
      </c>
      <c r="C364" s="131">
        <v>0.05</v>
      </c>
      <c r="D364" s="19"/>
      <c r="E364" s="19"/>
      <c r="F364" s="29">
        <f>ROUND(F361*C364,0)</f>
        <v>2248844</v>
      </c>
    </row>
    <row r="365" spans="1:6" x14ac:dyDescent="0.25">
      <c r="A365" s="19"/>
      <c r="B365" s="132" t="s">
        <v>63</v>
      </c>
      <c r="C365" s="133">
        <v>0.19</v>
      </c>
      <c r="D365" s="120"/>
      <c r="E365" s="120"/>
      <c r="F365" s="35">
        <f>ROUND(F364*19%,0)</f>
        <v>427280</v>
      </c>
    </row>
    <row r="366" spans="1:6" x14ac:dyDescent="0.25">
      <c r="A366" s="19"/>
      <c r="B366" s="18" t="s">
        <v>56</v>
      </c>
      <c r="C366" s="19"/>
      <c r="D366" s="19"/>
      <c r="E366" s="19"/>
      <c r="F366" s="30">
        <f>SUM(F361:F365)</f>
        <v>60696289</v>
      </c>
    </row>
    <row r="368" spans="1:6" x14ac:dyDescent="0.25">
      <c r="A368" s="422" t="s">
        <v>734</v>
      </c>
      <c r="B368" s="422"/>
      <c r="C368" s="422"/>
      <c r="D368" s="422"/>
      <c r="E368" s="422"/>
      <c r="F368" s="422"/>
    </row>
    <row r="369" spans="1:6" x14ac:dyDescent="0.25">
      <c r="A369" s="420" t="s">
        <v>10</v>
      </c>
      <c r="B369" s="420" t="s">
        <v>0</v>
      </c>
      <c r="C369" s="420" t="s">
        <v>11</v>
      </c>
      <c r="D369" s="420" t="s">
        <v>12</v>
      </c>
      <c r="E369" s="420"/>
      <c r="F369" s="420"/>
    </row>
    <row r="370" spans="1:6" x14ac:dyDescent="0.25">
      <c r="A370" s="420"/>
      <c r="B370" s="420"/>
      <c r="C370" s="420"/>
      <c r="D370" s="54" t="s">
        <v>13</v>
      </c>
      <c r="E370" s="54" t="s">
        <v>14</v>
      </c>
      <c r="F370" s="54" t="s">
        <v>15</v>
      </c>
    </row>
    <row r="371" spans="1:6" x14ac:dyDescent="0.25">
      <c r="A371" s="405">
        <f t="shared" ref="A371:A395" si="23">A370+1</f>
        <v>1</v>
      </c>
      <c r="B371" s="18" t="s">
        <v>16</v>
      </c>
      <c r="C371" s="420"/>
      <c r="D371" s="420"/>
      <c r="E371" s="420"/>
      <c r="F371" s="20"/>
    </row>
    <row r="372" spans="1:6" ht="29.25" x14ac:dyDescent="0.25">
      <c r="A372" s="405">
        <f t="shared" si="23"/>
        <v>2</v>
      </c>
      <c r="B372" s="406" t="s">
        <v>77</v>
      </c>
      <c r="C372" s="404" t="s">
        <v>18</v>
      </c>
      <c r="D372" s="61">
        <v>90</v>
      </c>
      <c r="E372" s="243">
        <v>5230</v>
      </c>
      <c r="F372" s="187">
        <f t="shared" ref="F372:F395" si="24">ROUND(D372*E372,0)</f>
        <v>470700</v>
      </c>
    </row>
    <row r="373" spans="1:6" ht="28.5" x14ac:dyDescent="0.25">
      <c r="A373" s="405">
        <f t="shared" si="23"/>
        <v>3</v>
      </c>
      <c r="B373" s="408" t="s">
        <v>21</v>
      </c>
      <c r="C373" s="404" t="s">
        <v>18</v>
      </c>
      <c r="D373" s="61">
        <v>192</v>
      </c>
      <c r="E373" s="242">
        <v>13608</v>
      </c>
      <c r="F373" s="187">
        <f t="shared" si="24"/>
        <v>2612736</v>
      </c>
    </row>
    <row r="374" spans="1:6" x14ac:dyDescent="0.25">
      <c r="A374" s="405">
        <f t="shared" si="23"/>
        <v>4</v>
      </c>
      <c r="B374" s="406" t="s">
        <v>22</v>
      </c>
      <c r="C374" s="404" t="s">
        <v>23</v>
      </c>
      <c r="D374" s="61">
        <v>2</v>
      </c>
      <c r="E374" s="243">
        <v>155814</v>
      </c>
      <c r="F374" s="187">
        <f t="shared" si="24"/>
        <v>311628</v>
      </c>
    </row>
    <row r="375" spans="1:6" x14ac:dyDescent="0.25">
      <c r="A375" s="405">
        <f t="shared" si="23"/>
        <v>5</v>
      </c>
      <c r="B375" s="188" t="s">
        <v>25</v>
      </c>
      <c r="C375" s="20"/>
      <c r="D375" s="20"/>
      <c r="E375" s="243" t="s">
        <v>1</v>
      </c>
      <c r="F375" s="187" t="s">
        <v>1</v>
      </c>
    </row>
    <row r="376" spans="1:6" x14ac:dyDescent="0.25">
      <c r="A376" s="405">
        <f t="shared" si="23"/>
        <v>6</v>
      </c>
      <c r="B376" s="56" t="s">
        <v>26</v>
      </c>
      <c r="C376" s="404" t="s">
        <v>18</v>
      </c>
      <c r="D376" s="61">
        <v>420</v>
      </c>
      <c r="E376" s="243">
        <v>7652</v>
      </c>
      <c r="F376" s="187">
        <f t="shared" si="24"/>
        <v>3213840</v>
      </c>
    </row>
    <row r="377" spans="1:6" ht="43.5" x14ac:dyDescent="0.25">
      <c r="A377" s="405">
        <f t="shared" si="23"/>
        <v>7</v>
      </c>
      <c r="B377" s="406" t="s">
        <v>78</v>
      </c>
      <c r="C377" s="404" t="s">
        <v>64</v>
      </c>
      <c r="D377" s="61">
        <v>15</v>
      </c>
      <c r="E377" s="243">
        <v>83560</v>
      </c>
      <c r="F377" s="187">
        <f t="shared" si="24"/>
        <v>1253400</v>
      </c>
    </row>
    <row r="378" spans="1:6" x14ac:dyDescent="0.25">
      <c r="A378" s="405">
        <f t="shared" si="23"/>
        <v>8</v>
      </c>
      <c r="B378" s="188" t="s">
        <v>28</v>
      </c>
      <c r="C378" s="20"/>
      <c r="D378" s="20"/>
      <c r="E378" s="243" t="s">
        <v>1</v>
      </c>
      <c r="F378" s="187" t="s">
        <v>1</v>
      </c>
    </row>
    <row r="379" spans="1:6" x14ac:dyDescent="0.25">
      <c r="A379" s="405">
        <f t="shared" si="23"/>
        <v>9</v>
      </c>
      <c r="B379" s="406" t="s">
        <v>79</v>
      </c>
      <c r="C379" s="404" t="s">
        <v>64</v>
      </c>
      <c r="D379" s="61">
        <v>63</v>
      </c>
      <c r="E379" s="243">
        <v>26395</v>
      </c>
      <c r="F379" s="187">
        <f t="shared" si="24"/>
        <v>1662885</v>
      </c>
    </row>
    <row r="380" spans="1:6" ht="29.25" x14ac:dyDescent="0.25">
      <c r="A380" s="405">
        <f t="shared" si="23"/>
        <v>10</v>
      </c>
      <c r="B380" s="406" t="s">
        <v>32</v>
      </c>
      <c r="C380" s="404" t="s">
        <v>64</v>
      </c>
      <c r="D380" s="61">
        <v>44</v>
      </c>
      <c r="E380" s="243">
        <v>32848</v>
      </c>
      <c r="F380" s="187">
        <f t="shared" si="24"/>
        <v>1445312</v>
      </c>
    </row>
    <row r="381" spans="1:6" x14ac:dyDescent="0.25">
      <c r="A381" s="405">
        <f t="shared" si="23"/>
        <v>11</v>
      </c>
      <c r="B381" s="188" t="s">
        <v>80</v>
      </c>
      <c r="C381" s="20"/>
      <c r="D381" s="20"/>
      <c r="E381" s="243" t="s">
        <v>1</v>
      </c>
      <c r="F381" s="187" t="s">
        <v>1</v>
      </c>
    </row>
    <row r="382" spans="1:6" x14ac:dyDescent="0.25">
      <c r="A382" s="405">
        <f t="shared" si="23"/>
        <v>12</v>
      </c>
      <c r="B382" s="406" t="s">
        <v>163</v>
      </c>
      <c r="C382" s="404" t="s">
        <v>18</v>
      </c>
      <c r="D382" s="61">
        <v>90</v>
      </c>
      <c r="E382" s="243">
        <v>5945</v>
      </c>
      <c r="F382" s="187">
        <f t="shared" si="24"/>
        <v>535050</v>
      </c>
    </row>
    <row r="383" spans="1:6" ht="43.5" x14ac:dyDescent="0.25">
      <c r="A383" s="405">
        <f t="shared" si="23"/>
        <v>13</v>
      </c>
      <c r="B383" s="406" t="s">
        <v>82</v>
      </c>
      <c r="C383" s="404" t="s">
        <v>37</v>
      </c>
      <c r="D383" s="61">
        <v>20</v>
      </c>
      <c r="E383" s="243">
        <v>42039</v>
      </c>
      <c r="F383" s="187">
        <f t="shared" si="24"/>
        <v>840780</v>
      </c>
    </row>
    <row r="384" spans="1:6" x14ac:dyDescent="0.25">
      <c r="A384" s="405">
        <f t="shared" si="23"/>
        <v>14</v>
      </c>
      <c r="B384" s="121" t="s">
        <v>292</v>
      </c>
      <c r="C384" s="404" t="s">
        <v>37</v>
      </c>
      <c r="D384" s="61">
        <v>1</v>
      </c>
      <c r="E384" s="243">
        <v>210191</v>
      </c>
      <c r="F384" s="187">
        <f t="shared" si="24"/>
        <v>210191</v>
      </c>
    </row>
    <row r="385" spans="1:6" ht="43.5" x14ac:dyDescent="0.25">
      <c r="A385" s="405">
        <f t="shared" si="23"/>
        <v>15</v>
      </c>
      <c r="B385" s="406" t="s">
        <v>159</v>
      </c>
      <c r="C385" s="404" t="s">
        <v>37</v>
      </c>
      <c r="D385" s="61">
        <v>1</v>
      </c>
      <c r="E385" s="243">
        <v>345600</v>
      </c>
      <c r="F385" s="187">
        <f t="shared" si="24"/>
        <v>345600</v>
      </c>
    </row>
    <row r="386" spans="1:6" x14ac:dyDescent="0.25">
      <c r="A386" s="405">
        <f t="shared" si="23"/>
        <v>16</v>
      </c>
      <c r="B386" s="55" t="s">
        <v>85</v>
      </c>
      <c r="C386" s="404" t="s">
        <v>23</v>
      </c>
      <c r="D386" s="61">
        <v>4</v>
      </c>
      <c r="E386" s="243">
        <v>90583</v>
      </c>
      <c r="F386" s="187">
        <f t="shared" si="24"/>
        <v>362332</v>
      </c>
    </row>
    <row r="387" spans="1:6" x14ac:dyDescent="0.25">
      <c r="A387" s="405">
        <f t="shared" si="23"/>
        <v>17</v>
      </c>
      <c r="B387" s="18" t="s">
        <v>43</v>
      </c>
      <c r="C387" s="20"/>
      <c r="D387" s="20"/>
      <c r="E387" s="243" t="s">
        <v>1</v>
      </c>
      <c r="F387" s="187" t="s">
        <v>1</v>
      </c>
    </row>
    <row r="388" spans="1:6" x14ac:dyDescent="0.25">
      <c r="A388" s="405">
        <f t="shared" si="23"/>
        <v>18</v>
      </c>
      <c r="B388" s="55" t="s">
        <v>44</v>
      </c>
      <c r="C388" s="404" t="s">
        <v>64</v>
      </c>
      <c r="D388" s="61">
        <v>9</v>
      </c>
      <c r="E388" s="243">
        <v>121019</v>
      </c>
      <c r="F388" s="187">
        <f t="shared" si="24"/>
        <v>1089171</v>
      </c>
    </row>
    <row r="389" spans="1:6" ht="29.25" x14ac:dyDescent="0.25">
      <c r="A389" s="405">
        <f t="shared" si="23"/>
        <v>19</v>
      </c>
      <c r="B389" s="406" t="s">
        <v>45</v>
      </c>
      <c r="C389" s="404" t="s">
        <v>64</v>
      </c>
      <c r="D389" s="61">
        <v>34</v>
      </c>
      <c r="E389" s="243">
        <v>22197</v>
      </c>
      <c r="F389" s="187">
        <f t="shared" si="24"/>
        <v>754698</v>
      </c>
    </row>
    <row r="390" spans="1:6" x14ac:dyDescent="0.25">
      <c r="A390" s="405">
        <f t="shared" si="23"/>
        <v>20</v>
      </c>
      <c r="B390" s="55" t="s">
        <v>273</v>
      </c>
      <c r="C390" s="404" t="s">
        <v>64</v>
      </c>
      <c r="D390" s="61">
        <v>20</v>
      </c>
      <c r="E390" s="243">
        <v>145281</v>
      </c>
      <c r="F390" s="187">
        <f t="shared" si="24"/>
        <v>2905620</v>
      </c>
    </row>
    <row r="391" spans="1:6" x14ac:dyDescent="0.25">
      <c r="A391" s="405">
        <f t="shared" si="23"/>
        <v>21</v>
      </c>
      <c r="B391" s="18" t="s">
        <v>48</v>
      </c>
      <c r="C391" s="20"/>
      <c r="D391" s="20"/>
      <c r="E391" s="243" t="s">
        <v>1</v>
      </c>
      <c r="F391" s="187" t="s">
        <v>1</v>
      </c>
    </row>
    <row r="392" spans="1:6" ht="29.25" x14ac:dyDescent="0.25">
      <c r="A392" s="405">
        <f t="shared" si="23"/>
        <v>22</v>
      </c>
      <c r="B392" s="406" t="s">
        <v>86</v>
      </c>
      <c r="C392" s="404" t="s">
        <v>64</v>
      </c>
      <c r="D392" s="61">
        <v>0.5</v>
      </c>
      <c r="E392" s="243">
        <v>607296</v>
      </c>
      <c r="F392" s="187">
        <f t="shared" si="24"/>
        <v>303648</v>
      </c>
    </row>
    <row r="393" spans="1:6" ht="29.25" x14ac:dyDescent="0.25">
      <c r="A393" s="405">
        <f t="shared" si="23"/>
        <v>23</v>
      </c>
      <c r="B393" s="406" t="s">
        <v>884</v>
      </c>
      <c r="C393" s="404" t="s">
        <v>64</v>
      </c>
      <c r="D393" s="61">
        <v>15</v>
      </c>
      <c r="E393" s="243">
        <v>824735</v>
      </c>
      <c r="F393" s="187">
        <f t="shared" si="24"/>
        <v>12371025</v>
      </c>
    </row>
    <row r="394" spans="1:6" x14ac:dyDescent="0.25">
      <c r="A394" s="405">
        <f t="shared" si="23"/>
        <v>24</v>
      </c>
      <c r="B394" s="188" t="s">
        <v>51</v>
      </c>
      <c r="C394" s="20"/>
      <c r="D394" s="20"/>
      <c r="E394" s="243" t="s">
        <v>1</v>
      </c>
      <c r="F394" s="187" t="s">
        <v>1</v>
      </c>
    </row>
    <row r="395" spans="1:6" x14ac:dyDescent="0.25">
      <c r="A395" s="405">
        <f t="shared" si="23"/>
        <v>25</v>
      </c>
      <c r="B395" s="406" t="s">
        <v>88</v>
      </c>
      <c r="C395" s="404" t="s">
        <v>53</v>
      </c>
      <c r="D395" s="61">
        <v>30</v>
      </c>
      <c r="E395" s="243">
        <v>5922</v>
      </c>
      <c r="F395" s="187">
        <f t="shared" si="24"/>
        <v>177660</v>
      </c>
    </row>
    <row r="396" spans="1:6" x14ac:dyDescent="0.25">
      <c r="A396" s="403"/>
      <c r="B396" s="188" t="s">
        <v>56</v>
      </c>
      <c r="C396" s="54"/>
      <c r="D396" s="130"/>
      <c r="E396" s="28"/>
      <c r="F396" s="79">
        <f>SUM(F372:F395)</f>
        <v>30866276</v>
      </c>
    </row>
    <row r="397" spans="1:6" x14ac:dyDescent="0.25">
      <c r="A397" s="19"/>
      <c r="B397" s="19" t="s">
        <v>60</v>
      </c>
      <c r="C397" s="19"/>
      <c r="D397" s="19"/>
      <c r="E397" s="19"/>
      <c r="F397" s="29">
        <f>ROUND(F396/1.3495,0)</f>
        <v>22872379</v>
      </c>
    </row>
    <row r="398" spans="1:6" x14ac:dyDescent="0.25">
      <c r="A398" s="19"/>
      <c r="B398" s="19" t="s">
        <v>61</v>
      </c>
      <c r="C398" s="131">
        <v>0.24</v>
      </c>
      <c r="D398" s="19"/>
      <c r="E398" s="19"/>
      <c r="F398" s="29">
        <f>ROUND(F397*C398,0)</f>
        <v>5489371</v>
      </c>
    </row>
    <row r="399" spans="1:6" x14ac:dyDescent="0.25">
      <c r="A399" s="19"/>
      <c r="B399" s="19" t="s">
        <v>57</v>
      </c>
      <c r="C399" s="131">
        <v>0.05</v>
      </c>
      <c r="D399" s="19"/>
      <c r="E399" s="19"/>
      <c r="F399" s="29">
        <f>ROUND(F397*C399,0)</f>
        <v>1143619</v>
      </c>
    </row>
    <row r="400" spans="1:6" x14ac:dyDescent="0.25">
      <c r="A400" s="19"/>
      <c r="B400" s="19" t="s">
        <v>62</v>
      </c>
      <c r="C400" s="131">
        <v>0.05</v>
      </c>
      <c r="D400" s="19"/>
      <c r="E400" s="19"/>
      <c r="F400" s="29">
        <f>ROUND(F397*C400,0)</f>
        <v>1143619</v>
      </c>
    </row>
    <row r="401" spans="1:6" x14ac:dyDescent="0.25">
      <c r="A401" s="19"/>
      <c r="B401" s="132" t="s">
        <v>63</v>
      </c>
      <c r="C401" s="133">
        <v>0.19</v>
      </c>
      <c r="D401" s="120"/>
      <c r="E401" s="120"/>
      <c r="F401" s="35">
        <f>ROUND(F400*19%,0)</f>
        <v>217288</v>
      </c>
    </row>
    <row r="402" spans="1:6" x14ac:dyDescent="0.25">
      <c r="A402" s="19"/>
      <c r="B402" s="18" t="s">
        <v>56</v>
      </c>
      <c r="C402" s="19"/>
      <c r="D402" s="19"/>
      <c r="E402" s="19"/>
      <c r="F402" s="30">
        <f>SUM(F397:F401)</f>
        <v>30866276</v>
      </c>
    </row>
    <row r="404" spans="1:6" x14ac:dyDescent="0.25">
      <c r="A404" s="422" t="s">
        <v>735</v>
      </c>
      <c r="B404" s="422"/>
      <c r="C404" s="422"/>
      <c r="D404" s="422"/>
      <c r="E404" s="422"/>
      <c r="F404" s="422"/>
    </row>
    <row r="405" spans="1:6" x14ac:dyDescent="0.25">
      <c r="A405" s="420" t="s">
        <v>10</v>
      </c>
      <c r="B405" s="420" t="s">
        <v>0</v>
      </c>
      <c r="C405" s="420" t="s">
        <v>11</v>
      </c>
      <c r="D405" s="420" t="s">
        <v>12</v>
      </c>
      <c r="E405" s="420"/>
      <c r="F405" s="420"/>
    </row>
    <row r="406" spans="1:6" x14ac:dyDescent="0.25">
      <c r="A406" s="420"/>
      <c r="B406" s="420"/>
      <c r="C406" s="420"/>
      <c r="D406" s="54" t="s">
        <v>13</v>
      </c>
      <c r="E406" s="54" t="s">
        <v>14</v>
      </c>
      <c r="F406" s="54" t="s">
        <v>15</v>
      </c>
    </row>
    <row r="407" spans="1:6" x14ac:dyDescent="0.25">
      <c r="A407" s="405">
        <f t="shared" ref="A407:A431" si="25">A406+1</f>
        <v>1</v>
      </c>
      <c r="B407" s="18" t="s">
        <v>16</v>
      </c>
      <c r="C407" s="420"/>
      <c r="D407" s="420"/>
      <c r="E407" s="420"/>
      <c r="F407" s="20"/>
    </row>
    <row r="408" spans="1:6" ht="29.25" x14ac:dyDescent="0.25">
      <c r="A408" s="405">
        <f t="shared" si="25"/>
        <v>2</v>
      </c>
      <c r="B408" s="406" t="s">
        <v>77</v>
      </c>
      <c r="C408" s="405" t="s">
        <v>18</v>
      </c>
      <c r="D408" s="31">
        <v>90</v>
      </c>
      <c r="E408" s="58">
        <v>5230</v>
      </c>
      <c r="F408" s="187">
        <f t="shared" ref="F408:F431" si="26">ROUND(D408*E408,0)</f>
        <v>470700</v>
      </c>
    </row>
    <row r="409" spans="1:6" x14ac:dyDescent="0.25">
      <c r="A409" s="405">
        <f t="shared" si="25"/>
        <v>3</v>
      </c>
      <c r="B409" s="406" t="s">
        <v>22</v>
      </c>
      <c r="C409" s="405" t="s">
        <v>23</v>
      </c>
      <c r="D409" s="31">
        <v>2</v>
      </c>
      <c r="E409" s="58">
        <v>144273</v>
      </c>
      <c r="F409" s="187">
        <f t="shared" si="26"/>
        <v>288546</v>
      </c>
    </row>
    <row r="410" spans="1:6" ht="29.25" x14ac:dyDescent="0.25">
      <c r="A410" s="405">
        <f t="shared" si="25"/>
        <v>4</v>
      </c>
      <c r="B410" s="406" t="s">
        <v>144</v>
      </c>
      <c r="C410" s="405" t="s">
        <v>18</v>
      </c>
      <c r="D410" s="31">
        <v>180</v>
      </c>
      <c r="E410" s="59">
        <v>6886</v>
      </c>
      <c r="F410" s="187">
        <f t="shared" si="26"/>
        <v>1239480</v>
      </c>
    </row>
    <row r="411" spans="1:6" x14ac:dyDescent="0.25">
      <c r="A411" s="405">
        <f t="shared" si="25"/>
        <v>5</v>
      </c>
      <c r="B411" s="188" t="s">
        <v>25</v>
      </c>
      <c r="C411" s="20"/>
      <c r="D411" s="20"/>
      <c r="E411" s="58"/>
      <c r="F411" s="187" t="s">
        <v>1</v>
      </c>
    </row>
    <row r="412" spans="1:6" x14ac:dyDescent="0.25">
      <c r="A412" s="405">
        <f t="shared" si="25"/>
        <v>6</v>
      </c>
      <c r="B412" s="56" t="s">
        <v>26</v>
      </c>
      <c r="C412" s="405" t="s">
        <v>18</v>
      </c>
      <c r="D412" s="31">
        <v>400</v>
      </c>
      <c r="E412" s="58">
        <v>7652</v>
      </c>
      <c r="F412" s="187">
        <f t="shared" si="26"/>
        <v>3060800</v>
      </c>
    </row>
    <row r="413" spans="1:6" ht="43.5" x14ac:dyDescent="0.25">
      <c r="A413" s="405">
        <f t="shared" si="25"/>
        <v>7</v>
      </c>
      <c r="B413" s="406" t="s">
        <v>78</v>
      </c>
      <c r="C413" s="405" t="s">
        <v>64</v>
      </c>
      <c r="D413" s="31">
        <v>12</v>
      </c>
      <c r="E413" s="58">
        <v>83560</v>
      </c>
      <c r="F413" s="187">
        <f t="shared" si="26"/>
        <v>1002720</v>
      </c>
    </row>
    <row r="414" spans="1:6" x14ac:dyDescent="0.25">
      <c r="A414" s="405">
        <f t="shared" si="25"/>
        <v>8</v>
      </c>
      <c r="B414" s="188" t="s">
        <v>28</v>
      </c>
      <c r="C414" s="20"/>
      <c r="D414" s="20"/>
      <c r="E414" s="58"/>
      <c r="F414" s="187" t="s">
        <v>1</v>
      </c>
    </row>
    <row r="415" spans="1:6" x14ac:dyDescent="0.25">
      <c r="A415" s="405">
        <f t="shared" si="25"/>
        <v>9</v>
      </c>
      <c r="B415" s="406" t="s">
        <v>79</v>
      </c>
      <c r="C415" s="405" t="s">
        <v>64</v>
      </c>
      <c r="D415" s="31">
        <v>62</v>
      </c>
      <c r="E415" s="58">
        <v>26395</v>
      </c>
      <c r="F415" s="187">
        <f t="shared" si="26"/>
        <v>1636490</v>
      </c>
    </row>
    <row r="416" spans="1:6" ht="29.25" x14ac:dyDescent="0.25">
      <c r="A416" s="405">
        <f t="shared" si="25"/>
        <v>10</v>
      </c>
      <c r="B416" s="406" t="s">
        <v>32</v>
      </c>
      <c r="C416" s="405" t="s">
        <v>64</v>
      </c>
      <c r="D416" s="31">
        <v>40</v>
      </c>
      <c r="E416" s="58">
        <v>32848</v>
      </c>
      <c r="F416" s="187">
        <f t="shared" si="26"/>
        <v>1313920</v>
      </c>
    </row>
    <row r="417" spans="1:6" x14ac:dyDescent="0.25">
      <c r="A417" s="405">
        <f t="shared" si="25"/>
        <v>11</v>
      </c>
      <c r="B417" s="188" t="s">
        <v>80</v>
      </c>
      <c r="C417" s="20"/>
      <c r="D417" s="20"/>
      <c r="E417" s="58"/>
      <c r="F417" s="187" t="s">
        <v>1</v>
      </c>
    </row>
    <row r="418" spans="1:6" x14ac:dyDescent="0.25">
      <c r="A418" s="405">
        <f t="shared" si="25"/>
        <v>12</v>
      </c>
      <c r="B418" s="406" t="s">
        <v>163</v>
      </c>
      <c r="C418" s="405" t="s">
        <v>18</v>
      </c>
      <c r="D418" s="31">
        <v>90</v>
      </c>
      <c r="E418" s="58">
        <v>5945</v>
      </c>
      <c r="F418" s="187">
        <f t="shared" si="26"/>
        <v>535050</v>
      </c>
    </row>
    <row r="419" spans="1:6" ht="43.5" x14ac:dyDescent="0.25">
      <c r="A419" s="405">
        <f t="shared" si="25"/>
        <v>13</v>
      </c>
      <c r="B419" s="406" t="s">
        <v>82</v>
      </c>
      <c r="C419" s="405" t="s">
        <v>37</v>
      </c>
      <c r="D419" s="31">
        <v>22</v>
      </c>
      <c r="E419" s="58">
        <v>42039</v>
      </c>
      <c r="F419" s="187">
        <f t="shared" si="26"/>
        <v>924858</v>
      </c>
    </row>
    <row r="420" spans="1:6" x14ac:dyDescent="0.25">
      <c r="A420" s="405">
        <f t="shared" si="25"/>
        <v>14</v>
      </c>
      <c r="B420" s="57" t="s">
        <v>292</v>
      </c>
      <c r="C420" s="405" t="s">
        <v>37</v>
      </c>
      <c r="D420" s="31">
        <v>2</v>
      </c>
      <c r="E420" s="58">
        <v>210191</v>
      </c>
      <c r="F420" s="187">
        <f t="shared" si="26"/>
        <v>420382</v>
      </c>
    </row>
    <row r="421" spans="1:6" ht="43.5" x14ac:dyDescent="0.25">
      <c r="A421" s="405">
        <f t="shared" si="25"/>
        <v>15</v>
      </c>
      <c r="B421" s="406" t="s">
        <v>736</v>
      </c>
      <c r="C421" s="405" t="s">
        <v>37</v>
      </c>
      <c r="D421" s="31">
        <v>2</v>
      </c>
      <c r="E421" s="58">
        <v>345600</v>
      </c>
      <c r="F421" s="187">
        <f t="shared" si="26"/>
        <v>691200</v>
      </c>
    </row>
    <row r="422" spans="1:6" x14ac:dyDescent="0.25">
      <c r="A422" s="405">
        <f t="shared" si="25"/>
        <v>16</v>
      </c>
      <c r="B422" s="406" t="s">
        <v>85</v>
      </c>
      <c r="C422" s="405" t="s">
        <v>23</v>
      </c>
      <c r="D422" s="31">
        <v>2</v>
      </c>
      <c r="E422" s="58">
        <v>90583</v>
      </c>
      <c r="F422" s="187">
        <f t="shared" si="26"/>
        <v>181166</v>
      </c>
    </row>
    <row r="423" spans="1:6" x14ac:dyDescent="0.25">
      <c r="A423" s="405">
        <f t="shared" si="25"/>
        <v>17</v>
      </c>
      <c r="B423" s="188" t="s">
        <v>43</v>
      </c>
      <c r="C423" s="20"/>
      <c r="D423" s="20"/>
      <c r="E423" s="58"/>
      <c r="F423" s="187" t="s">
        <v>1</v>
      </c>
    </row>
    <row r="424" spans="1:6" x14ac:dyDescent="0.25">
      <c r="A424" s="405">
        <f t="shared" si="25"/>
        <v>18</v>
      </c>
      <c r="B424" s="406" t="s">
        <v>44</v>
      </c>
      <c r="C424" s="405" t="s">
        <v>64</v>
      </c>
      <c r="D424" s="31">
        <v>8</v>
      </c>
      <c r="E424" s="58">
        <v>121019</v>
      </c>
      <c r="F424" s="187">
        <f t="shared" si="26"/>
        <v>968152</v>
      </c>
    </row>
    <row r="425" spans="1:6" ht="29.25" x14ac:dyDescent="0.25">
      <c r="A425" s="405">
        <f t="shared" si="25"/>
        <v>19</v>
      </c>
      <c r="B425" s="406" t="s">
        <v>45</v>
      </c>
      <c r="C425" s="405" t="s">
        <v>64</v>
      </c>
      <c r="D425" s="31">
        <v>33</v>
      </c>
      <c r="E425" s="58">
        <v>22197</v>
      </c>
      <c r="F425" s="187">
        <f t="shared" si="26"/>
        <v>732501</v>
      </c>
    </row>
    <row r="426" spans="1:6" ht="28.5" x14ac:dyDescent="0.25">
      <c r="A426" s="405">
        <f t="shared" si="25"/>
        <v>20</v>
      </c>
      <c r="B426" s="408" t="s">
        <v>161</v>
      </c>
      <c r="C426" s="405" t="s">
        <v>64</v>
      </c>
      <c r="D426" s="31">
        <v>19</v>
      </c>
      <c r="E426" s="58">
        <v>145281</v>
      </c>
      <c r="F426" s="187">
        <f t="shared" si="26"/>
        <v>2760339</v>
      </c>
    </row>
    <row r="427" spans="1:6" x14ac:dyDescent="0.25">
      <c r="A427" s="405">
        <f t="shared" si="25"/>
        <v>21</v>
      </c>
      <c r="B427" s="188" t="s">
        <v>48</v>
      </c>
      <c r="C427" s="20"/>
      <c r="D427" s="20"/>
      <c r="E427" s="58"/>
      <c r="F427" s="187" t="s">
        <v>1</v>
      </c>
    </row>
    <row r="428" spans="1:6" ht="29.25" x14ac:dyDescent="0.25">
      <c r="A428" s="405">
        <f t="shared" si="25"/>
        <v>22</v>
      </c>
      <c r="B428" s="406" t="s">
        <v>86</v>
      </c>
      <c r="C428" s="405" t="s">
        <v>64</v>
      </c>
      <c r="D428" s="31">
        <v>11</v>
      </c>
      <c r="E428" s="58">
        <v>607296</v>
      </c>
      <c r="F428" s="187">
        <f t="shared" si="26"/>
        <v>6680256</v>
      </c>
    </row>
    <row r="429" spans="1:6" x14ac:dyDescent="0.25">
      <c r="A429" s="405">
        <f t="shared" si="25"/>
        <v>23</v>
      </c>
      <c r="B429" s="406" t="s">
        <v>87</v>
      </c>
      <c r="C429" s="405" t="s">
        <v>64</v>
      </c>
      <c r="D429" s="31">
        <v>1</v>
      </c>
      <c r="E429" s="58">
        <v>824735</v>
      </c>
      <c r="F429" s="187">
        <f t="shared" si="26"/>
        <v>824735</v>
      </c>
    </row>
    <row r="430" spans="1:6" x14ac:dyDescent="0.25">
      <c r="A430" s="405">
        <f t="shared" si="25"/>
        <v>24</v>
      </c>
      <c r="B430" s="188" t="s">
        <v>51</v>
      </c>
      <c r="C430" s="20"/>
      <c r="D430" s="20"/>
      <c r="E430" s="58"/>
      <c r="F430" s="187" t="s">
        <v>1</v>
      </c>
    </row>
    <row r="431" spans="1:6" x14ac:dyDescent="0.25">
      <c r="A431" s="405">
        <f t="shared" si="25"/>
        <v>25</v>
      </c>
      <c r="B431" s="406" t="s">
        <v>88</v>
      </c>
      <c r="C431" s="405" t="s">
        <v>53</v>
      </c>
      <c r="D431" s="31">
        <v>36</v>
      </c>
      <c r="E431" s="58">
        <v>5922</v>
      </c>
      <c r="F431" s="187">
        <f t="shared" si="26"/>
        <v>213192</v>
      </c>
    </row>
    <row r="432" spans="1:6" x14ac:dyDescent="0.25">
      <c r="A432" s="403"/>
      <c r="B432" s="188" t="s">
        <v>56</v>
      </c>
      <c r="C432" s="54"/>
      <c r="D432" s="130"/>
      <c r="E432" s="28"/>
      <c r="F432" s="79">
        <f>SUM(F408:F431)</f>
        <v>23944487</v>
      </c>
    </row>
    <row r="433" spans="1:6" x14ac:dyDescent="0.25">
      <c r="A433" s="19"/>
      <c r="B433" s="19" t="s">
        <v>60</v>
      </c>
      <c r="C433" s="19"/>
      <c r="D433" s="19"/>
      <c r="E433" s="19"/>
      <c r="F433" s="29">
        <f>ROUND(F432/1.3495,0)</f>
        <v>17743229</v>
      </c>
    </row>
    <row r="434" spans="1:6" x14ac:dyDescent="0.25">
      <c r="A434" s="19"/>
      <c r="B434" s="19" t="s">
        <v>61</v>
      </c>
      <c r="C434" s="131">
        <v>0.24</v>
      </c>
      <c r="D434" s="19"/>
      <c r="E434" s="19"/>
      <c r="F434" s="29">
        <f>ROUND(F433*C434,0)</f>
        <v>4258375</v>
      </c>
    </row>
    <row r="435" spans="1:6" x14ac:dyDescent="0.25">
      <c r="A435" s="19"/>
      <c r="B435" s="19" t="s">
        <v>57</v>
      </c>
      <c r="C435" s="131">
        <v>0.05</v>
      </c>
      <c r="D435" s="19"/>
      <c r="E435" s="19"/>
      <c r="F435" s="29">
        <f>ROUND(F433*C435,0)</f>
        <v>887161</v>
      </c>
    </row>
    <row r="436" spans="1:6" x14ac:dyDescent="0.25">
      <c r="A436" s="19"/>
      <c r="B436" s="19" t="s">
        <v>62</v>
      </c>
      <c r="C436" s="131">
        <v>0.05</v>
      </c>
      <c r="D436" s="19"/>
      <c r="E436" s="19"/>
      <c r="F436" s="29">
        <f>ROUND(F433*C436,0)</f>
        <v>887161</v>
      </c>
    </row>
    <row r="437" spans="1:6" x14ac:dyDescent="0.25">
      <c r="A437" s="19"/>
      <c r="B437" s="132" t="s">
        <v>63</v>
      </c>
      <c r="C437" s="133">
        <v>0.19</v>
      </c>
      <c r="D437" s="120"/>
      <c r="E437" s="120"/>
      <c r="F437" s="35">
        <f>ROUND(F436*19%,0)</f>
        <v>168561</v>
      </c>
    </row>
    <row r="438" spans="1:6" x14ac:dyDescent="0.25">
      <c r="A438" s="19"/>
      <c r="B438" s="18" t="s">
        <v>56</v>
      </c>
      <c r="C438" s="19"/>
      <c r="D438" s="19"/>
      <c r="E438" s="19"/>
      <c r="F438" s="30">
        <f>SUM(F433:F437)</f>
        <v>23944487</v>
      </c>
    </row>
    <row r="440" spans="1:6" x14ac:dyDescent="0.25">
      <c r="A440" s="422" t="s">
        <v>737</v>
      </c>
      <c r="B440" s="422"/>
      <c r="C440" s="422"/>
      <c r="D440" s="422"/>
      <c r="E440" s="422"/>
      <c r="F440" s="422"/>
    </row>
    <row r="441" spans="1:6" x14ac:dyDescent="0.25">
      <c r="A441" s="420" t="s">
        <v>10</v>
      </c>
      <c r="B441" s="420" t="s">
        <v>0</v>
      </c>
      <c r="C441" s="420" t="s">
        <v>11</v>
      </c>
      <c r="D441" s="420" t="s">
        <v>12</v>
      </c>
      <c r="E441" s="420"/>
      <c r="F441" s="420"/>
    </row>
    <row r="442" spans="1:6" x14ac:dyDescent="0.25">
      <c r="A442" s="420"/>
      <c r="B442" s="420"/>
      <c r="C442" s="420"/>
      <c r="D442" s="54" t="s">
        <v>13</v>
      </c>
      <c r="E442" s="54" t="s">
        <v>14</v>
      </c>
      <c r="F442" s="54" t="s">
        <v>15</v>
      </c>
    </row>
    <row r="443" spans="1:6" x14ac:dyDescent="0.25">
      <c r="A443" s="405">
        <f t="shared" ref="A443:A467" si="27">A442+1</f>
        <v>1</v>
      </c>
      <c r="B443" s="18" t="s">
        <v>16</v>
      </c>
      <c r="C443" s="420"/>
      <c r="D443" s="420"/>
      <c r="E443" s="420"/>
      <c r="F443" s="20"/>
    </row>
    <row r="444" spans="1:6" ht="29.25" x14ac:dyDescent="0.25">
      <c r="A444" s="405">
        <f t="shared" si="27"/>
        <v>2</v>
      </c>
      <c r="B444" s="406" t="s">
        <v>77</v>
      </c>
      <c r="C444" s="405" t="s">
        <v>18</v>
      </c>
      <c r="D444" s="31">
        <v>90</v>
      </c>
      <c r="E444" s="58">
        <v>5230</v>
      </c>
      <c r="F444" s="187">
        <f t="shared" ref="F444:F467" si="28">ROUND(D444*E444,0)</f>
        <v>470700</v>
      </c>
    </row>
    <row r="445" spans="1:6" x14ac:dyDescent="0.25">
      <c r="A445" s="405">
        <f t="shared" si="27"/>
        <v>3</v>
      </c>
      <c r="B445" s="406" t="s">
        <v>22</v>
      </c>
      <c r="C445" s="405" t="s">
        <v>23</v>
      </c>
      <c r="D445" s="31">
        <v>2</v>
      </c>
      <c r="E445" s="58">
        <v>155814</v>
      </c>
      <c r="F445" s="187">
        <f t="shared" si="28"/>
        <v>311628</v>
      </c>
    </row>
    <row r="446" spans="1:6" ht="29.25" x14ac:dyDescent="0.25">
      <c r="A446" s="405">
        <f t="shared" si="27"/>
        <v>4</v>
      </c>
      <c r="B446" s="406" t="s">
        <v>144</v>
      </c>
      <c r="C446" s="405" t="s">
        <v>18</v>
      </c>
      <c r="D446" s="31">
        <v>180</v>
      </c>
      <c r="E446" s="59">
        <v>6886</v>
      </c>
      <c r="F446" s="187">
        <f t="shared" si="28"/>
        <v>1239480</v>
      </c>
    </row>
    <row r="447" spans="1:6" x14ac:dyDescent="0.25">
      <c r="A447" s="405">
        <f t="shared" si="27"/>
        <v>5</v>
      </c>
      <c r="B447" s="188" t="s">
        <v>25</v>
      </c>
      <c r="C447" s="20"/>
      <c r="D447" s="20"/>
      <c r="E447" s="58"/>
      <c r="F447" s="187" t="s">
        <v>1</v>
      </c>
    </row>
    <row r="448" spans="1:6" x14ac:dyDescent="0.25">
      <c r="A448" s="405">
        <f t="shared" si="27"/>
        <v>6</v>
      </c>
      <c r="B448" s="56" t="s">
        <v>26</v>
      </c>
      <c r="C448" s="405" t="s">
        <v>18</v>
      </c>
      <c r="D448" s="31">
        <v>330</v>
      </c>
      <c r="E448" s="58">
        <v>7652</v>
      </c>
      <c r="F448" s="187">
        <f t="shared" si="28"/>
        <v>2525160</v>
      </c>
    </row>
    <row r="449" spans="1:6" ht="43.5" x14ac:dyDescent="0.25">
      <c r="A449" s="405">
        <f t="shared" si="27"/>
        <v>7</v>
      </c>
      <c r="B449" s="406" t="s">
        <v>78</v>
      </c>
      <c r="C449" s="405" t="s">
        <v>64</v>
      </c>
      <c r="D449" s="31">
        <v>12</v>
      </c>
      <c r="E449" s="58">
        <v>83560</v>
      </c>
      <c r="F449" s="187">
        <f t="shared" si="28"/>
        <v>1002720</v>
      </c>
    </row>
    <row r="450" spans="1:6" x14ac:dyDescent="0.25">
      <c r="A450" s="405">
        <f t="shared" si="27"/>
        <v>8</v>
      </c>
      <c r="B450" s="188" t="s">
        <v>28</v>
      </c>
      <c r="C450" s="20"/>
      <c r="D450" s="20"/>
      <c r="E450" s="58"/>
      <c r="F450" s="187" t="s">
        <v>1</v>
      </c>
    </row>
    <row r="451" spans="1:6" x14ac:dyDescent="0.25">
      <c r="A451" s="405">
        <f t="shared" si="27"/>
        <v>9</v>
      </c>
      <c r="B451" s="406" t="s">
        <v>79</v>
      </c>
      <c r="C451" s="405" t="s">
        <v>64</v>
      </c>
      <c r="D451" s="31">
        <v>58</v>
      </c>
      <c r="E451" s="58">
        <v>26395</v>
      </c>
      <c r="F451" s="187">
        <f t="shared" si="28"/>
        <v>1530910</v>
      </c>
    </row>
    <row r="452" spans="1:6" ht="29.25" x14ac:dyDescent="0.25">
      <c r="A452" s="405">
        <f t="shared" si="27"/>
        <v>10</v>
      </c>
      <c r="B452" s="406" t="s">
        <v>32</v>
      </c>
      <c r="C452" s="405" t="s">
        <v>64</v>
      </c>
      <c r="D452" s="31">
        <v>38</v>
      </c>
      <c r="E452" s="58">
        <v>32848</v>
      </c>
      <c r="F452" s="187">
        <f t="shared" si="28"/>
        <v>1248224</v>
      </c>
    </row>
    <row r="453" spans="1:6" x14ac:dyDescent="0.25">
      <c r="A453" s="405">
        <f t="shared" si="27"/>
        <v>11</v>
      </c>
      <c r="B453" s="188" t="s">
        <v>80</v>
      </c>
      <c r="C453" s="20"/>
      <c r="D453" s="20"/>
      <c r="E453" s="58"/>
      <c r="F453" s="187" t="s">
        <v>1</v>
      </c>
    </row>
    <row r="454" spans="1:6" x14ac:dyDescent="0.25">
      <c r="A454" s="405">
        <f t="shared" si="27"/>
        <v>12</v>
      </c>
      <c r="B454" s="406" t="s">
        <v>163</v>
      </c>
      <c r="C454" s="405" t="s">
        <v>18</v>
      </c>
      <c r="D454" s="31">
        <v>90</v>
      </c>
      <c r="E454" s="58">
        <v>5945</v>
      </c>
      <c r="F454" s="187">
        <f t="shared" si="28"/>
        <v>535050</v>
      </c>
    </row>
    <row r="455" spans="1:6" ht="43.5" x14ac:dyDescent="0.25">
      <c r="A455" s="405">
        <f t="shared" si="27"/>
        <v>13</v>
      </c>
      <c r="B455" s="406" t="s">
        <v>82</v>
      </c>
      <c r="C455" s="405" t="s">
        <v>37</v>
      </c>
      <c r="D455" s="31">
        <v>15</v>
      </c>
      <c r="E455" s="58">
        <v>42039</v>
      </c>
      <c r="F455" s="187">
        <f t="shared" si="28"/>
        <v>630585</v>
      </c>
    </row>
    <row r="456" spans="1:6" x14ac:dyDescent="0.25">
      <c r="A456" s="405">
        <f t="shared" si="27"/>
        <v>14</v>
      </c>
      <c r="B456" s="57" t="s">
        <v>292</v>
      </c>
      <c r="C456" s="405" t="s">
        <v>37</v>
      </c>
      <c r="D456" s="31">
        <v>2</v>
      </c>
      <c r="E456" s="58">
        <v>210191</v>
      </c>
      <c r="F456" s="187">
        <f t="shared" si="28"/>
        <v>420382</v>
      </c>
    </row>
    <row r="457" spans="1:6" ht="43.5" x14ac:dyDescent="0.25">
      <c r="A457" s="405">
        <f t="shared" si="27"/>
        <v>15</v>
      </c>
      <c r="B457" s="406" t="s">
        <v>736</v>
      </c>
      <c r="C457" s="405" t="s">
        <v>37</v>
      </c>
      <c r="D457" s="31">
        <v>2</v>
      </c>
      <c r="E457" s="58">
        <v>345600</v>
      </c>
      <c r="F457" s="187">
        <f t="shared" si="28"/>
        <v>691200</v>
      </c>
    </row>
    <row r="458" spans="1:6" x14ac:dyDescent="0.25">
      <c r="A458" s="405">
        <f t="shared" si="27"/>
        <v>16</v>
      </c>
      <c r="B458" s="406" t="s">
        <v>85</v>
      </c>
      <c r="C458" s="405" t="s">
        <v>23</v>
      </c>
      <c r="D458" s="31">
        <v>2</v>
      </c>
      <c r="E458" s="58">
        <v>90583</v>
      </c>
      <c r="F458" s="187">
        <f t="shared" si="28"/>
        <v>181166</v>
      </c>
    </row>
    <row r="459" spans="1:6" x14ac:dyDescent="0.25">
      <c r="A459" s="405">
        <f t="shared" si="27"/>
        <v>17</v>
      </c>
      <c r="B459" s="188" t="s">
        <v>43</v>
      </c>
      <c r="C459" s="20"/>
      <c r="D459" s="20"/>
      <c r="E459" s="243"/>
      <c r="F459" s="187" t="s">
        <v>1</v>
      </c>
    </row>
    <row r="460" spans="1:6" x14ac:dyDescent="0.25">
      <c r="A460" s="405">
        <f t="shared" si="27"/>
        <v>18</v>
      </c>
      <c r="B460" s="406" t="s">
        <v>44</v>
      </c>
      <c r="C460" s="405" t="s">
        <v>64</v>
      </c>
      <c r="D460" s="31">
        <v>8</v>
      </c>
      <c r="E460" s="58">
        <v>121019</v>
      </c>
      <c r="F460" s="187">
        <f t="shared" si="28"/>
        <v>968152</v>
      </c>
    </row>
    <row r="461" spans="1:6" ht="29.25" x14ac:dyDescent="0.25">
      <c r="A461" s="405">
        <f t="shared" si="27"/>
        <v>19</v>
      </c>
      <c r="B461" s="406" t="s">
        <v>45</v>
      </c>
      <c r="C461" s="405" t="s">
        <v>64</v>
      </c>
      <c r="D461" s="31">
        <v>30</v>
      </c>
      <c r="E461" s="58">
        <v>22197</v>
      </c>
      <c r="F461" s="187">
        <f t="shared" si="28"/>
        <v>665910</v>
      </c>
    </row>
    <row r="462" spans="1:6" x14ac:dyDescent="0.25">
      <c r="A462" s="405">
        <f t="shared" si="27"/>
        <v>20</v>
      </c>
      <c r="B462" s="406" t="s">
        <v>273</v>
      </c>
      <c r="C462" s="405" t="s">
        <v>64</v>
      </c>
      <c r="D462" s="31">
        <v>16</v>
      </c>
      <c r="E462" s="58">
        <v>145281</v>
      </c>
      <c r="F462" s="187">
        <f t="shared" si="28"/>
        <v>2324496</v>
      </c>
    </row>
    <row r="463" spans="1:6" x14ac:dyDescent="0.25">
      <c r="A463" s="405">
        <f t="shared" si="27"/>
        <v>21</v>
      </c>
      <c r="B463" s="188" t="s">
        <v>48</v>
      </c>
      <c r="C463" s="20"/>
      <c r="D463" s="20"/>
      <c r="E463" s="58"/>
      <c r="F463" s="187" t="s">
        <v>1</v>
      </c>
    </row>
    <row r="464" spans="1:6" ht="29.25" x14ac:dyDescent="0.25">
      <c r="A464" s="405">
        <f t="shared" si="27"/>
        <v>22</v>
      </c>
      <c r="B464" s="406" t="s">
        <v>86</v>
      </c>
      <c r="C464" s="405" t="s">
        <v>64</v>
      </c>
      <c r="D464" s="31">
        <v>0.5</v>
      </c>
      <c r="E464" s="58">
        <v>607296</v>
      </c>
      <c r="F464" s="187">
        <f t="shared" si="28"/>
        <v>303648</v>
      </c>
    </row>
    <row r="465" spans="1:6" x14ac:dyDescent="0.25">
      <c r="A465" s="405">
        <f t="shared" si="27"/>
        <v>23</v>
      </c>
      <c r="B465" s="406" t="s">
        <v>87</v>
      </c>
      <c r="C465" s="405" t="s">
        <v>64</v>
      </c>
      <c r="D465" s="31">
        <v>1</v>
      </c>
      <c r="E465" s="58">
        <v>824735</v>
      </c>
      <c r="F465" s="187">
        <f t="shared" si="28"/>
        <v>824735</v>
      </c>
    </row>
    <row r="466" spans="1:6" x14ac:dyDescent="0.25">
      <c r="A466" s="405">
        <f t="shared" si="27"/>
        <v>24</v>
      </c>
      <c r="B466" s="188" t="s">
        <v>51</v>
      </c>
      <c r="C466" s="20"/>
      <c r="D466" s="20"/>
      <c r="E466" s="58"/>
      <c r="F466" s="187" t="s">
        <v>1</v>
      </c>
    </row>
    <row r="467" spans="1:6" x14ac:dyDescent="0.25">
      <c r="A467" s="405">
        <f t="shared" si="27"/>
        <v>25</v>
      </c>
      <c r="B467" s="406" t="s">
        <v>88</v>
      </c>
      <c r="C467" s="405" t="s">
        <v>53</v>
      </c>
      <c r="D467" s="31">
        <v>36</v>
      </c>
      <c r="E467" s="58">
        <v>5922</v>
      </c>
      <c r="F467" s="187">
        <f t="shared" si="28"/>
        <v>213192</v>
      </c>
    </row>
    <row r="468" spans="1:6" x14ac:dyDescent="0.25">
      <c r="A468" s="403"/>
      <c r="B468" s="406"/>
      <c r="C468" s="404"/>
      <c r="D468" s="61"/>
      <c r="E468" s="243"/>
      <c r="F468" s="187"/>
    </row>
    <row r="469" spans="1:6" x14ac:dyDescent="0.25">
      <c r="A469" s="403"/>
      <c r="B469" s="188" t="s">
        <v>56</v>
      </c>
      <c r="C469" s="54"/>
      <c r="D469" s="130"/>
      <c r="E469" s="28"/>
      <c r="F469" s="79">
        <f>SUM(F444:F468)</f>
        <v>16087338</v>
      </c>
    </row>
    <row r="470" spans="1:6" x14ac:dyDescent="0.25">
      <c r="A470" s="19"/>
      <c r="B470" s="19" t="s">
        <v>60</v>
      </c>
      <c r="C470" s="19"/>
      <c r="D470" s="19"/>
      <c r="E470" s="19"/>
      <c r="F470" s="29">
        <f>ROUND(F469/1.3495,0)</f>
        <v>11920962</v>
      </c>
    </row>
    <row r="471" spans="1:6" x14ac:dyDescent="0.25">
      <c r="A471" s="19"/>
      <c r="B471" s="19" t="s">
        <v>61</v>
      </c>
      <c r="C471" s="131">
        <v>0.24</v>
      </c>
      <c r="D471" s="19"/>
      <c r="E471" s="19"/>
      <c r="F471" s="29">
        <f>ROUND(F470*C471,0)</f>
        <v>2861031</v>
      </c>
    </row>
    <row r="472" spans="1:6" x14ac:dyDescent="0.25">
      <c r="A472" s="19"/>
      <c r="B472" s="19" t="s">
        <v>57</v>
      </c>
      <c r="C472" s="131">
        <v>0.05</v>
      </c>
      <c r="D472" s="19"/>
      <c r="E472" s="19"/>
      <c r="F472" s="29">
        <f>ROUND(F470*C472,0)</f>
        <v>596048</v>
      </c>
    </row>
    <row r="473" spans="1:6" x14ac:dyDescent="0.25">
      <c r="A473" s="19"/>
      <c r="B473" s="19" t="s">
        <v>62</v>
      </c>
      <c r="C473" s="131">
        <v>0.05</v>
      </c>
      <c r="D473" s="19"/>
      <c r="E473" s="19"/>
      <c r="F473" s="29">
        <f>ROUND(F470*C473,0)</f>
        <v>596048</v>
      </c>
    </row>
    <row r="474" spans="1:6" x14ac:dyDescent="0.25">
      <c r="A474" s="19"/>
      <c r="B474" s="132" t="s">
        <v>63</v>
      </c>
      <c r="C474" s="133">
        <v>0.19</v>
      </c>
      <c r="D474" s="120"/>
      <c r="E474" s="120"/>
      <c r="F474" s="35">
        <f>ROUND(F473*19%,0)</f>
        <v>113249</v>
      </c>
    </row>
    <row r="475" spans="1:6" x14ac:dyDescent="0.25">
      <c r="A475" s="19"/>
      <c r="B475" s="18" t="s">
        <v>56</v>
      </c>
      <c r="C475" s="19"/>
      <c r="D475" s="19"/>
      <c r="E475" s="19"/>
      <c r="F475" s="30">
        <f>SUM(F470:F474)</f>
        <v>16087338</v>
      </c>
    </row>
    <row r="477" spans="1:6" x14ac:dyDescent="0.25">
      <c r="A477" s="422" t="s">
        <v>1018</v>
      </c>
      <c r="B477" s="422"/>
      <c r="C477" s="422"/>
      <c r="D477" s="422"/>
      <c r="E477" s="422"/>
      <c r="F477" s="422"/>
    </row>
    <row r="478" spans="1:6" x14ac:dyDescent="0.25">
      <c r="A478" s="420" t="s">
        <v>10</v>
      </c>
      <c r="B478" s="420" t="s">
        <v>0</v>
      </c>
      <c r="C478" s="420" t="s">
        <v>11</v>
      </c>
      <c r="D478" s="420" t="s">
        <v>12</v>
      </c>
      <c r="E478" s="420"/>
      <c r="F478" s="420"/>
    </row>
    <row r="479" spans="1:6" x14ac:dyDescent="0.25">
      <c r="A479" s="420"/>
      <c r="B479" s="420"/>
      <c r="C479" s="420"/>
      <c r="D479" s="54" t="s">
        <v>13</v>
      </c>
      <c r="E479" s="54" t="s">
        <v>14</v>
      </c>
      <c r="F479" s="54" t="s">
        <v>15</v>
      </c>
    </row>
    <row r="480" spans="1:6" x14ac:dyDescent="0.25">
      <c r="A480" s="411">
        <f t="shared" ref="A480:A504" si="29">A479+1</f>
        <v>1</v>
      </c>
      <c r="B480" s="18" t="s">
        <v>16</v>
      </c>
      <c r="C480" s="420"/>
      <c r="D480" s="420"/>
      <c r="E480" s="420"/>
      <c r="F480" s="20"/>
    </row>
    <row r="481" spans="1:6" ht="29.25" x14ac:dyDescent="0.25">
      <c r="A481" s="411">
        <f t="shared" si="29"/>
        <v>2</v>
      </c>
      <c r="B481" s="412" t="s">
        <v>77</v>
      </c>
      <c r="C481" s="411" t="s">
        <v>18</v>
      </c>
      <c r="D481" s="31">
        <v>90</v>
      </c>
      <c r="E481" s="58">
        <v>5230</v>
      </c>
      <c r="F481" s="187">
        <f t="shared" ref="F481:F483" si="30">ROUND(D481*E481,0)</f>
        <v>470700</v>
      </c>
    </row>
    <row r="482" spans="1:6" x14ac:dyDescent="0.25">
      <c r="A482" s="411">
        <f t="shared" si="29"/>
        <v>3</v>
      </c>
      <c r="B482" s="412" t="s">
        <v>22</v>
      </c>
      <c r="C482" s="411" t="s">
        <v>23</v>
      </c>
      <c r="D482" s="31">
        <v>2</v>
      </c>
      <c r="E482" s="58">
        <v>155814</v>
      </c>
      <c r="F482" s="187">
        <f t="shared" si="30"/>
        <v>311628</v>
      </c>
    </row>
    <row r="483" spans="1:6" ht="29.25" x14ac:dyDescent="0.25">
      <c r="A483" s="411">
        <f t="shared" si="29"/>
        <v>4</v>
      </c>
      <c r="B483" s="412" t="s">
        <v>144</v>
      </c>
      <c r="C483" s="411" t="s">
        <v>18</v>
      </c>
      <c r="D483" s="31">
        <v>180</v>
      </c>
      <c r="E483" s="59">
        <v>6886</v>
      </c>
      <c r="F483" s="187">
        <f t="shared" si="30"/>
        <v>1239480</v>
      </c>
    </row>
    <row r="484" spans="1:6" x14ac:dyDescent="0.25">
      <c r="A484" s="411">
        <f t="shared" si="29"/>
        <v>5</v>
      </c>
      <c r="B484" s="188" t="s">
        <v>25</v>
      </c>
      <c r="C484" s="20"/>
      <c r="D484" s="20"/>
      <c r="E484" s="58"/>
      <c r="F484" s="187" t="s">
        <v>1</v>
      </c>
    </row>
    <row r="485" spans="1:6" x14ac:dyDescent="0.25">
      <c r="A485" s="411">
        <f t="shared" si="29"/>
        <v>6</v>
      </c>
      <c r="B485" s="56" t="s">
        <v>26</v>
      </c>
      <c r="C485" s="411" t="s">
        <v>18</v>
      </c>
      <c r="D485" s="31">
        <v>330</v>
      </c>
      <c r="E485" s="58">
        <v>7652</v>
      </c>
      <c r="F485" s="187">
        <f t="shared" ref="F485:F486" si="31">ROUND(D485*E485,0)</f>
        <v>2525160</v>
      </c>
    </row>
    <row r="486" spans="1:6" ht="43.5" x14ac:dyDescent="0.25">
      <c r="A486" s="411">
        <f t="shared" si="29"/>
        <v>7</v>
      </c>
      <c r="B486" s="412" t="s">
        <v>78</v>
      </c>
      <c r="C486" s="411" t="s">
        <v>64</v>
      </c>
      <c r="D486" s="31">
        <v>12</v>
      </c>
      <c r="E486" s="58">
        <v>83560</v>
      </c>
      <c r="F486" s="187">
        <f t="shared" si="31"/>
        <v>1002720</v>
      </c>
    </row>
    <row r="487" spans="1:6" x14ac:dyDescent="0.25">
      <c r="A487" s="411">
        <f t="shared" si="29"/>
        <v>8</v>
      </c>
      <c r="B487" s="188" t="s">
        <v>28</v>
      </c>
      <c r="C487" s="20"/>
      <c r="D487" s="20"/>
      <c r="E487" s="58"/>
      <c r="F487" s="187" t="s">
        <v>1</v>
      </c>
    </row>
    <row r="488" spans="1:6" x14ac:dyDescent="0.25">
      <c r="A488" s="411">
        <f t="shared" si="29"/>
        <v>9</v>
      </c>
      <c r="B488" s="412" t="s">
        <v>79</v>
      </c>
      <c r="C488" s="411" t="s">
        <v>64</v>
      </c>
      <c r="D488" s="31">
        <v>58</v>
      </c>
      <c r="E488" s="58">
        <v>26395</v>
      </c>
      <c r="F488" s="187">
        <f t="shared" ref="F488:F489" si="32">ROUND(D488*E488,0)</f>
        <v>1530910</v>
      </c>
    </row>
    <row r="489" spans="1:6" ht="29.25" x14ac:dyDescent="0.25">
      <c r="A489" s="411">
        <f t="shared" si="29"/>
        <v>10</v>
      </c>
      <c r="B489" s="412" t="s">
        <v>32</v>
      </c>
      <c r="C489" s="411" t="s">
        <v>64</v>
      </c>
      <c r="D489" s="31">
        <v>38</v>
      </c>
      <c r="E489" s="58">
        <v>32848</v>
      </c>
      <c r="F489" s="187">
        <f t="shared" si="32"/>
        <v>1248224</v>
      </c>
    </row>
    <row r="490" spans="1:6" x14ac:dyDescent="0.25">
      <c r="A490" s="411">
        <f t="shared" si="29"/>
        <v>11</v>
      </c>
      <c r="B490" s="188" t="s">
        <v>80</v>
      </c>
      <c r="C490" s="20"/>
      <c r="D490" s="20"/>
      <c r="E490" s="58"/>
      <c r="F490" s="187" t="s">
        <v>1</v>
      </c>
    </row>
    <row r="491" spans="1:6" x14ac:dyDescent="0.25">
      <c r="A491" s="411">
        <f t="shared" si="29"/>
        <v>12</v>
      </c>
      <c r="B491" s="412" t="s">
        <v>163</v>
      </c>
      <c r="C491" s="411" t="s">
        <v>18</v>
      </c>
      <c r="D491" s="31">
        <v>90</v>
      </c>
      <c r="E491" s="58">
        <v>5945</v>
      </c>
      <c r="F491" s="187">
        <f t="shared" ref="F491:F495" si="33">ROUND(D491*E491,0)</f>
        <v>535050</v>
      </c>
    </row>
    <row r="492" spans="1:6" ht="43.5" x14ac:dyDescent="0.25">
      <c r="A492" s="411">
        <f t="shared" si="29"/>
        <v>13</v>
      </c>
      <c r="B492" s="412" t="s">
        <v>82</v>
      </c>
      <c r="C492" s="411" t="s">
        <v>37</v>
      </c>
      <c r="D492" s="31">
        <v>25</v>
      </c>
      <c r="E492" s="58">
        <v>42039</v>
      </c>
      <c r="F492" s="187">
        <f t="shared" si="33"/>
        <v>1050975</v>
      </c>
    </row>
    <row r="493" spans="1:6" x14ac:dyDescent="0.25">
      <c r="A493" s="411">
        <f t="shared" si="29"/>
        <v>14</v>
      </c>
      <c r="B493" s="57" t="s">
        <v>292</v>
      </c>
      <c r="C493" s="411" t="s">
        <v>37</v>
      </c>
      <c r="D493" s="31">
        <v>2</v>
      </c>
      <c r="E493" s="58">
        <v>210191</v>
      </c>
      <c r="F493" s="187">
        <f t="shared" si="33"/>
        <v>420382</v>
      </c>
    </row>
    <row r="494" spans="1:6" ht="43.5" x14ac:dyDescent="0.25">
      <c r="A494" s="411">
        <f t="shared" si="29"/>
        <v>15</v>
      </c>
      <c r="B494" s="412" t="s">
        <v>736</v>
      </c>
      <c r="C494" s="411" t="s">
        <v>37</v>
      </c>
      <c r="D494" s="31">
        <v>2</v>
      </c>
      <c r="E494" s="58">
        <v>345600</v>
      </c>
      <c r="F494" s="187">
        <f t="shared" si="33"/>
        <v>691200</v>
      </c>
    </row>
    <row r="495" spans="1:6" x14ac:dyDescent="0.25">
      <c r="A495" s="411">
        <f t="shared" si="29"/>
        <v>16</v>
      </c>
      <c r="B495" s="412" t="s">
        <v>85</v>
      </c>
      <c r="C495" s="411" t="s">
        <v>23</v>
      </c>
      <c r="D495" s="31">
        <v>2</v>
      </c>
      <c r="E495" s="58">
        <v>90583</v>
      </c>
      <c r="F495" s="187">
        <f t="shared" si="33"/>
        <v>181166</v>
      </c>
    </row>
    <row r="496" spans="1:6" x14ac:dyDescent="0.25">
      <c r="A496" s="411">
        <f t="shared" si="29"/>
        <v>17</v>
      </c>
      <c r="B496" s="188" t="s">
        <v>43</v>
      </c>
      <c r="C496" s="20"/>
      <c r="D496" s="20"/>
      <c r="E496" s="243"/>
      <c r="F496" s="187" t="s">
        <v>1</v>
      </c>
    </row>
    <row r="497" spans="1:6" x14ac:dyDescent="0.25">
      <c r="A497" s="411">
        <f t="shared" si="29"/>
        <v>18</v>
      </c>
      <c r="B497" s="412" t="s">
        <v>44</v>
      </c>
      <c r="C497" s="411" t="s">
        <v>64</v>
      </c>
      <c r="D497" s="31">
        <v>8</v>
      </c>
      <c r="E497" s="58">
        <v>121019</v>
      </c>
      <c r="F497" s="187">
        <f t="shared" ref="F497:F499" si="34">ROUND(D497*E497,0)</f>
        <v>968152</v>
      </c>
    </row>
    <row r="498" spans="1:6" ht="29.25" x14ac:dyDescent="0.25">
      <c r="A498" s="411">
        <f t="shared" si="29"/>
        <v>19</v>
      </c>
      <c r="B498" s="412" t="s">
        <v>45</v>
      </c>
      <c r="C498" s="411" t="s">
        <v>64</v>
      </c>
      <c r="D498" s="31">
        <v>30</v>
      </c>
      <c r="E498" s="58">
        <v>22197</v>
      </c>
      <c r="F498" s="187">
        <f t="shared" si="34"/>
        <v>665910</v>
      </c>
    </row>
    <row r="499" spans="1:6" x14ac:dyDescent="0.25">
      <c r="A499" s="411">
        <f t="shared" si="29"/>
        <v>20</v>
      </c>
      <c r="B499" s="412" t="s">
        <v>273</v>
      </c>
      <c r="C499" s="411" t="s">
        <v>64</v>
      </c>
      <c r="D499" s="31">
        <v>16</v>
      </c>
      <c r="E499" s="58">
        <v>145281</v>
      </c>
      <c r="F499" s="187">
        <f t="shared" si="34"/>
        <v>2324496</v>
      </c>
    </row>
    <row r="500" spans="1:6" x14ac:dyDescent="0.25">
      <c r="A500" s="411">
        <f t="shared" si="29"/>
        <v>21</v>
      </c>
      <c r="B500" s="188" t="s">
        <v>48</v>
      </c>
      <c r="C500" s="20"/>
      <c r="D500" s="20"/>
      <c r="E500" s="58"/>
      <c r="F500" s="187" t="s">
        <v>1</v>
      </c>
    </row>
    <row r="501" spans="1:6" ht="29.25" x14ac:dyDescent="0.25">
      <c r="A501" s="411">
        <f t="shared" si="29"/>
        <v>22</v>
      </c>
      <c r="B501" s="412" t="s">
        <v>86</v>
      </c>
      <c r="C501" s="411" t="s">
        <v>64</v>
      </c>
      <c r="D501" s="31">
        <v>0.5</v>
      </c>
      <c r="E501" s="58">
        <v>607296</v>
      </c>
      <c r="F501" s="187">
        <f t="shared" ref="F501:F502" si="35">ROUND(D501*E501,0)</f>
        <v>303648</v>
      </c>
    </row>
    <row r="502" spans="1:6" x14ac:dyDescent="0.25">
      <c r="A502" s="411">
        <f t="shared" si="29"/>
        <v>23</v>
      </c>
      <c r="B502" s="412" t="s">
        <v>87</v>
      </c>
      <c r="C502" s="411" t="s">
        <v>64</v>
      </c>
      <c r="D502" s="31">
        <v>1</v>
      </c>
      <c r="E502" s="58">
        <v>824735</v>
      </c>
      <c r="F502" s="187">
        <f t="shared" si="35"/>
        <v>824735</v>
      </c>
    </row>
    <row r="503" spans="1:6" x14ac:dyDescent="0.25">
      <c r="A503" s="411">
        <f t="shared" si="29"/>
        <v>24</v>
      </c>
      <c r="B503" s="188" t="s">
        <v>51</v>
      </c>
      <c r="C503" s="20"/>
      <c r="D503" s="20"/>
      <c r="E503" s="58"/>
      <c r="F503" s="187" t="s">
        <v>1</v>
      </c>
    </row>
    <row r="504" spans="1:6" x14ac:dyDescent="0.25">
      <c r="A504" s="411">
        <f t="shared" si="29"/>
        <v>25</v>
      </c>
      <c r="B504" s="412" t="s">
        <v>88</v>
      </c>
      <c r="C504" s="411" t="s">
        <v>53</v>
      </c>
      <c r="D504" s="31">
        <v>36</v>
      </c>
      <c r="E504" s="58">
        <v>5922</v>
      </c>
      <c r="F504" s="187">
        <f t="shared" ref="F504" si="36">ROUND(D504*E504,0)</f>
        <v>213192</v>
      </c>
    </row>
    <row r="505" spans="1:6" x14ac:dyDescent="0.25">
      <c r="A505" s="409"/>
      <c r="B505" s="412"/>
      <c r="C505" s="410"/>
      <c r="D505" s="61"/>
      <c r="E505" s="243"/>
      <c r="F505" s="187"/>
    </row>
    <row r="506" spans="1:6" x14ac:dyDescent="0.25">
      <c r="A506" s="409"/>
      <c r="B506" s="188" t="s">
        <v>56</v>
      </c>
      <c r="C506" s="54"/>
      <c r="D506" s="130"/>
      <c r="E506" s="28"/>
      <c r="F506" s="79">
        <f>SUM(F481:F505)</f>
        <v>16507728</v>
      </c>
    </row>
    <row r="507" spans="1:6" x14ac:dyDescent="0.25">
      <c r="A507" s="19"/>
      <c r="B507" s="19" t="s">
        <v>60</v>
      </c>
      <c r="C507" s="19"/>
      <c r="D507" s="19"/>
      <c r="E507" s="19"/>
      <c r="F507" s="29">
        <f>ROUND(F506/1.3495,0)</f>
        <v>12232477</v>
      </c>
    </row>
    <row r="508" spans="1:6" x14ac:dyDescent="0.25">
      <c r="A508" s="19"/>
      <c r="B508" s="19" t="s">
        <v>61</v>
      </c>
      <c r="C508" s="131">
        <v>0.24</v>
      </c>
      <c r="D508" s="19"/>
      <c r="E508" s="19"/>
      <c r="F508" s="29">
        <f>ROUND(F507*C508,0)</f>
        <v>2935794</v>
      </c>
    </row>
    <row r="509" spans="1:6" x14ac:dyDescent="0.25">
      <c r="A509" s="19"/>
      <c r="B509" s="19" t="s">
        <v>57</v>
      </c>
      <c r="C509" s="131">
        <v>0.05</v>
      </c>
      <c r="D509" s="19"/>
      <c r="E509" s="19"/>
      <c r="F509" s="29">
        <f>ROUND(F507*C509,0)</f>
        <v>611624</v>
      </c>
    </row>
    <row r="510" spans="1:6" x14ac:dyDescent="0.25">
      <c r="A510" s="19"/>
      <c r="B510" s="19" t="s">
        <v>62</v>
      </c>
      <c r="C510" s="131">
        <v>0.05</v>
      </c>
      <c r="D510" s="19"/>
      <c r="E510" s="19"/>
      <c r="F510" s="29">
        <f>ROUND(F507*C510,0)</f>
        <v>611624</v>
      </c>
    </row>
    <row r="511" spans="1:6" x14ac:dyDescent="0.25">
      <c r="A511" s="19"/>
      <c r="B511" s="132" t="s">
        <v>63</v>
      </c>
      <c r="C511" s="133">
        <v>0.19</v>
      </c>
      <c r="D511" s="120"/>
      <c r="E511" s="120"/>
      <c r="F511" s="35">
        <f>ROUND(F510*19%,0)</f>
        <v>116209</v>
      </c>
    </row>
    <row r="512" spans="1:6" x14ac:dyDescent="0.25">
      <c r="A512" s="19"/>
      <c r="B512" s="18" t="s">
        <v>56</v>
      </c>
      <c r="C512" s="19"/>
      <c r="D512" s="19"/>
      <c r="E512" s="19"/>
      <c r="F512" s="30">
        <f>SUM(F507:F511)</f>
        <v>16507728</v>
      </c>
    </row>
    <row r="515" spans="1:6" x14ac:dyDescent="0.25">
      <c r="A515" s="422" t="s">
        <v>738</v>
      </c>
      <c r="B515" s="422"/>
      <c r="C515" s="422"/>
      <c r="D515" s="422"/>
      <c r="E515" s="422"/>
      <c r="F515" s="422"/>
    </row>
    <row r="516" spans="1:6" x14ac:dyDescent="0.25">
      <c r="A516" s="420" t="s">
        <v>10</v>
      </c>
      <c r="B516" s="420" t="s">
        <v>0</v>
      </c>
      <c r="C516" s="420" t="s">
        <v>11</v>
      </c>
      <c r="D516" s="420" t="s">
        <v>12</v>
      </c>
      <c r="E516" s="420"/>
      <c r="F516" s="420"/>
    </row>
    <row r="517" spans="1:6" x14ac:dyDescent="0.25">
      <c r="A517" s="420"/>
      <c r="B517" s="420"/>
      <c r="C517" s="420"/>
      <c r="D517" s="54" t="s">
        <v>13</v>
      </c>
      <c r="E517" s="54" t="s">
        <v>14</v>
      </c>
      <c r="F517" s="54" t="s">
        <v>15</v>
      </c>
    </row>
    <row r="518" spans="1:6" x14ac:dyDescent="0.25">
      <c r="A518" s="405">
        <f t="shared" ref="A518:A581" si="37">A517+1</f>
        <v>1</v>
      </c>
      <c r="B518" s="18" t="s">
        <v>16</v>
      </c>
      <c r="C518" s="420"/>
      <c r="D518" s="420"/>
      <c r="E518" s="420"/>
      <c r="F518" s="20"/>
    </row>
    <row r="519" spans="1:6" ht="29.25" x14ac:dyDescent="0.25">
      <c r="A519" s="405">
        <f t="shared" si="37"/>
        <v>2</v>
      </c>
      <c r="B519" s="406" t="s">
        <v>17</v>
      </c>
      <c r="C519" s="405" t="s">
        <v>18</v>
      </c>
      <c r="D519" s="31">
        <f>6+60+17+81+7+9+7+12+12+18+120+90</f>
        <v>439</v>
      </c>
      <c r="E519" s="145">
        <v>5027</v>
      </c>
      <c r="F519" s="187">
        <f t="shared" ref="F519:F581" si="38">ROUND(D519*E519,0)</f>
        <v>2206853</v>
      </c>
    </row>
    <row r="520" spans="1:6" x14ac:dyDescent="0.25">
      <c r="A520" s="405">
        <f t="shared" si="37"/>
        <v>3</v>
      </c>
      <c r="B520" s="406" t="s">
        <v>739</v>
      </c>
      <c r="C520" s="405" t="s">
        <v>37</v>
      </c>
      <c r="D520" s="31">
        <v>439</v>
      </c>
      <c r="E520" s="145">
        <v>3633</v>
      </c>
      <c r="F520" s="187">
        <f t="shared" si="38"/>
        <v>1594887</v>
      </c>
    </row>
    <row r="521" spans="1:6" x14ac:dyDescent="0.25">
      <c r="A521" s="405">
        <f t="shared" si="37"/>
        <v>4</v>
      </c>
      <c r="B521" s="188" t="s">
        <v>740</v>
      </c>
      <c r="C521" s="405"/>
      <c r="D521" s="31"/>
      <c r="E521" s="145"/>
      <c r="F521" s="187"/>
    </row>
    <row r="522" spans="1:6" ht="29.25" x14ac:dyDescent="0.25">
      <c r="A522" s="405">
        <f t="shared" si="37"/>
        <v>5</v>
      </c>
      <c r="B522" s="406" t="s">
        <v>885</v>
      </c>
      <c r="C522" s="405" t="s">
        <v>37</v>
      </c>
      <c r="D522" s="31">
        <v>1</v>
      </c>
      <c r="E522" s="145">
        <v>778500</v>
      </c>
      <c r="F522" s="187">
        <f t="shared" si="38"/>
        <v>778500</v>
      </c>
    </row>
    <row r="523" spans="1:6" x14ac:dyDescent="0.25">
      <c r="A523" s="405">
        <f t="shared" si="37"/>
        <v>6</v>
      </c>
      <c r="B523" s="188" t="s">
        <v>741</v>
      </c>
      <c r="C523" s="405"/>
      <c r="D523" s="31"/>
      <c r="E523" s="145"/>
      <c r="F523" s="187" t="s">
        <v>1</v>
      </c>
    </row>
    <row r="524" spans="1:6" ht="29.25" x14ac:dyDescent="0.25">
      <c r="A524" s="405">
        <f t="shared" si="37"/>
        <v>7</v>
      </c>
      <c r="B524" s="406" t="s">
        <v>742</v>
      </c>
      <c r="C524" s="405" t="s">
        <v>64</v>
      </c>
      <c r="D524" s="31">
        <v>22</v>
      </c>
      <c r="E524" s="145">
        <v>25368</v>
      </c>
      <c r="F524" s="187">
        <f t="shared" si="38"/>
        <v>558096</v>
      </c>
    </row>
    <row r="525" spans="1:6" ht="57.75" x14ac:dyDescent="0.25">
      <c r="A525" s="405">
        <f t="shared" si="37"/>
        <v>8</v>
      </c>
      <c r="B525" s="406" t="s">
        <v>886</v>
      </c>
      <c r="C525" s="405" t="s">
        <v>18</v>
      </c>
      <c r="D525" s="31">
        <v>36</v>
      </c>
      <c r="E525" s="145">
        <v>58647</v>
      </c>
      <c r="F525" s="187">
        <f t="shared" si="38"/>
        <v>2111292</v>
      </c>
    </row>
    <row r="526" spans="1:6" x14ac:dyDescent="0.25">
      <c r="A526" s="405">
        <f t="shared" si="37"/>
        <v>9</v>
      </c>
      <c r="B526" s="406" t="s">
        <v>744</v>
      </c>
      <c r="C526" s="405" t="s">
        <v>37</v>
      </c>
      <c r="D526" s="31">
        <v>2</v>
      </c>
      <c r="E526" s="145">
        <v>259500</v>
      </c>
      <c r="F526" s="187">
        <f t="shared" si="38"/>
        <v>519000</v>
      </c>
    </row>
    <row r="527" spans="1:6" x14ac:dyDescent="0.25">
      <c r="A527" s="405">
        <f t="shared" si="37"/>
        <v>10</v>
      </c>
      <c r="B527" s="406" t="s">
        <v>745</v>
      </c>
      <c r="C527" s="405" t="s">
        <v>37</v>
      </c>
      <c r="D527" s="31">
        <v>2</v>
      </c>
      <c r="E527" s="145">
        <v>435960</v>
      </c>
      <c r="F527" s="187">
        <f t="shared" si="38"/>
        <v>871920</v>
      </c>
    </row>
    <row r="528" spans="1:6" ht="29.25" x14ac:dyDescent="0.25">
      <c r="A528" s="405">
        <f t="shared" si="37"/>
        <v>11</v>
      </c>
      <c r="B528" s="406" t="s">
        <v>746</v>
      </c>
      <c r="C528" s="405" t="s">
        <v>37</v>
      </c>
      <c r="D528" s="31">
        <v>2</v>
      </c>
      <c r="E528" s="145">
        <v>508620</v>
      </c>
      <c r="F528" s="187">
        <f t="shared" si="38"/>
        <v>1017240</v>
      </c>
    </row>
    <row r="529" spans="1:6" ht="29.25" x14ac:dyDescent="0.25">
      <c r="A529" s="405">
        <f t="shared" si="37"/>
        <v>12</v>
      </c>
      <c r="B529" s="406" t="s">
        <v>45</v>
      </c>
      <c r="C529" s="405" t="s">
        <v>64</v>
      </c>
      <c r="D529" s="31">
        <v>16</v>
      </c>
      <c r="E529" s="145">
        <v>21334</v>
      </c>
      <c r="F529" s="187">
        <f t="shared" si="38"/>
        <v>341344</v>
      </c>
    </row>
    <row r="530" spans="1:6" x14ac:dyDescent="0.25">
      <c r="A530" s="405">
        <f t="shared" si="37"/>
        <v>13</v>
      </c>
      <c r="B530" s="55" t="s">
        <v>314</v>
      </c>
      <c r="C530" s="405" t="s">
        <v>64</v>
      </c>
      <c r="D530" s="31">
        <v>6</v>
      </c>
      <c r="E530" s="145">
        <v>19203</v>
      </c>
      <c r="F530" s="187">
        <f t="shared" si="38"/>
        <v>115218</v>
      </c>
    </row>
    <row r="531" spans="1:6" x14ac:dyDescent="0.25">
      <c r="A531" s="405">
        <f t="shared" si="37"/>
        <v>14</v>
      </c>
      <c r="B531" s="18" t="s">
        <v>747</v>
      </c>
      <c r="C531" s="20"/>
      <c r="D531" s="20"/>
      <c r="E531" s="145" t="s">
        <v>1</v>
      </c>
      <c r="F531" s="187"/>
    </row>
    <row r="532" spans="1:6" ht="43.5" x14ac:dyDescent="0.25">
      <c r="A532" s="405">
        <f t="shared" si="37"/>
        <v>15</v>
      </c>
      <c r="B532" s="56" t="s">
        <v>748</v>
      </c>
      <c r="C532" s="405" t="s">
        <v>277</v>
      </c>
      <c r="D532" s="31">
        <v>1</v>
      </c>
      <c r="E532" s="145">
        <v>2595000</v>
      </c>
      <c r="F532" s="187">
        <f t="shared" si="38"/>
        <v>2595000</v>
      </c>
    </row>
    <row r="533" spans="1:6" ht="43.5" x14ac:dyDescent="0.25">
      <c r="A533" s="405">
        <f t="shared" si="37"/>
        <v>16</v>
      </c>
      <c r="B533" s="56" t="s">
        <v>749</v>
      </c>
      <c r="C533" s="405" t="s">
        <v>37</v>
      </c>
      <c r="D533" s="31">
        <v>1</v>
      </c>
      <c r="E533" s="145">
        <v>259500</v>
      </c>
      <c r="F533" s="187">
        <f t="shared" si="38"/>
        <v>259500</v>
      </c>
    </row>
    <row r="534" spans="1:6" x14ac:dyDescent="0.25">
      <c r="A534" s="405">
        <f t="shared" si="37"/>
        <v>17</v>
      </c>
      <c r="B534" s="56" t="s">
        <v>750</v>
      </c>
      <c r="C534" s="405" t="s">
        <v>37</v>
      </c>
      <c r="D534" s="31">
        <v>1</v>
      </c>
      <c r="E534" s="145">
        <v>186840</v>
      </c>
      <c r="F534" s="187">
        <f t="shared" si="38"/>
        <v>186840</v>
      </c>
    </row>
    <row r="535" spans="1:6" ht="30" x14ac:dyDescent="0.25">
      <c r="A535" s="405">
        <f t="shared" si="37"/>
        <v>18</v>
      </c>
      <c r="B535" s="188" t="s">
        <v>751</v>
      </c>
      <c r="C535" s="405"/>
      <c r="D535" s="31"/>
      <c r="E535" s="145"/>
      <c r="F535" s="187"/>
    </row>
    <row r="536" spans="1:6" ht="29.25" x14ac:dyDescent="0.25">
      <c r="A536" s="405">
        <f t="shared" si="37"/>
        <v>19</v>
      </c>
      <c r="B536" s="406" t="s">
        <v>742</v>
      </c>
      <c r="C536" s="405" t="s">
        <v>64</v>
      </c>
      <c r="D536" s="31">
        <v>114</v>
      </c>
      <c r="E536" s="145">
        <v>25368</v>
      </c>
      <c r="F536" s="187">
        <f t="shared" si="38"/>
        <v>2891952</v>
      </c>
    </row>
    <row r="537" spans="1:6" ht="43.5" x14ac:dyDescent="0.25">
      <c r="A537" s="405">
        <f t="shared" si="37"/>
        <v>20</v>
      </c>
      <c r="B537" s="406" t="s">
        <v>752</v>
      </c>
      <c r="C537" s="405" t="s">
        <v>18</v>
      </c>
      <c r="D537" s="31">
        <f>21*6</f>
        <v>126</v>
      </c>
      <c r="E537" s="145">
        <v>46710</v>
      </c>
      <c r="F537" s="187">
        <f t="shared" si="38"/>
        <v>5885460</v>
      </c>
    </row>
    <row r="538" spans="1:6" ht="29.25" x14ac:dyDescent="0.25">
      <c r="A538" s="405">
        <f t="shared" si="37"/>
        <v>21</v>
      </c>
      <c r="B538" s="406" t="s">
        <v>45</v>
      </c>
      <c r="C538" s="405" t="s">
        <v>64</v>
      </c>
      <c r="D538" s="31">
        <v>96</v>
      </c>
      <c r="E538" s="145">
        <v>28074</v>
      </c>
      <c r="F538" s="187">
        <f t="shared" si="38"/>
        <v>2695104</v>
      </c>
    </row>
    <row r="539" spans="1:6" ht="29.25" x14ac:dyDescent="0.25">
      <c r="A539" s="405">
        <f t="shared" si="37"/>
        <v>22</v>
      </c>
      <c r="B539" s="406" t="s">
        <v>753</v>
      </c>
      <c r="C539" s="405" t="s">
        <v>18</v>
      </c>
      <c r="D539" s="31">
        <v>19</v>
      </c>
      <c r="E539" s="145">
        <v>954960</v>
      </c>
      <c r="F539" s="187">
        <f t="shared" si="38"/>
        <v>18144240</v>
      </c>
    </row>
    <row r="540" spans="1:6" ht="29.25" x14ac:dyDescent="0.25">
      <c r="A540" s="405">
        <f t="shared" si="37"/>
        <v>23</v>
      </c>
      <c r="B540" s="406" t="s">
        <v>754</v>
      </c>
      <c r="C540" s="125" t="s">
        <v>755</v>
      </c>
      <c r="D540" s="31">
        <v>60</v>
      </c>
      <c r="E540" s="145">
        <v>449519</v>
      </c>
      <c r="F540" s="187">
        <f t="shared" si="38"/>
        <v>26971140</v>
      </c>
    </row>
    <row r="541" spans="1:6" x14ac:dyDescent="0.25">
      <c r="A541" s="405">
        <f t="shared" si="37"/>
        <v>24</v>
      </c>
      <c r="B541" s="406" t="s">
        <v>756</v>
      </c>
      <c r="C541" s="125" t="s">
        <v>324</v>
      </c>
      <c r="D541" s="31">
        <v>1200</v>
      </c>
      <c r="E541" s="145">
        <v>5692</v>
      </c>
      <c r="F541" s="187">
        <f t="shared" si="38"/>
        <v>6830400</v>
      </c>
    </row>
    <row r="542" spans="1:6" x14ac:dyDescent="0.25">
      <c r="A542" s="405">
        <f t="shared" si="37"/>
        <v>25</v>
      </c>
      <c r="B542" s="406" t="s">
        <v>314</v>
      </c>
      <c r="C542" s="405" t="s">
        <v>64</v>
      </c>
      <c r="D542" s="31">
        <v>20</v>
      </c>
      <c r="E542" s="145">
        <v>19203</v>
      </c>
      <c r="F542" s="187">
        <f t="shared" si="38"/>
        <v>384060</v>
      </c>
    </row>
    <row r="543" spans="1:6" ht="29.25" x14ac:dyDescent="0.25">
      <c r="A543" s="405">
        <f t="shared" si="37"/>
        <v>26</v>
      </c>
      <c r="B543" s="406" t="s">
        <v>757</v>
      </c>
      <c r="C543" s="405" t="s">
        <v>64</v>
      </c>
      <c r="D543" s="31">
        <v>36</v>
      </c>
      <c r="E543" s="145">
        <v>337350</v>
      </c>
      <c r="F543" s="187">
        <f t="shared" si="38"/>
        <v>12144600</v>
      </c>
    </row>
    <row r="544" spans="1:6" x14ac:dyDescent="0.25">
      <c r="A544" s="405">
        <f t="shared" si="37"/>
        <v>27</v>
      </c>
      <c r="B544" s="188" t="s">
        <v>758</v>
      </c>
      <c r="C544" s="405"/>
      <c r="D544" s="20"/>
      <c r="E544" s="145"/>
      <c r="F544" s="187"/>
    </row>
    <row r="545" spans="1:6" ht="29.25" x14ac:dyDescent="0.25">
      <c r="A545" s="405">
        <f t="shared" si="37"/>
        <v>28</v>
      </c>
      <c r="B545" s="406" t="s">
        <v>742</v>
      </c>
      <c r="C545" s="405" t="s">
        <v>18</v>
      </c>
      <c r="D545" s="31">
        <v>144</v>
      </c>
      <c r="E545" s="145">
        <v>25368</v>
      </c>
      <c r="F545" s="187">
        <f t="shared" si="38"/>
        <v>3652992</v>
      </c>
    </row>
    <row r="546" spans="1:6" ht="57.75" x14ac:dyDescent="0.25">
      <c r="A546" s="405">
        <f t="shared" si="37"/>
        <v>29</v>
      </c>
      <c r="B546" s="406" t="s">
        <v>759</v>
      </c>
      <c r="C546" s="405" t="s">
        <v>18</v>
      </c>
      <c r="D546" s="31">
        <v>120</v>
      </c>
      <c r="E546" s="145">
        <v>39807</v>
      </c>
      <c r="F546" s="187">
        <f t="shared" si="38"/>
        <v>4776840</v>
      </c>
    </row>
    <row r="547" spans="1:6" ht="71.25" x14ac:dyDescent="0.25">
      <c r="A547" s="405">
        <f t="shared" si="37"/>
        <v>30</v>
      </c>
      <c r="B547" s="57" t="s">
        <v>760</v>
      </c>
      <c r="C547" s="405" t="s">
        <v>18</v>
      </c>
      <c r="D547" s="31">
        <v>3</v>
      </c>
      <c r="E547" s="145">
        <v>924023</v>
      </c>
      <c r="F547" s="187">
        <f t="shared" si="38"/>
        <v>2772069</v>
      </c>
    </row>
    <row r="548" spans="1:6" ht="57.75" x14ac:dyDescent="0.25">
      <c r="A548" s="405">
        <f t="shared" si="37"/>
        <v>31</v>
      </c>
      <c r="B548" s="406" t="s">
        <v>761</v>
      </c>
      <c r="C548" s="405" t="s">
        <v>37</v>
      </c>
      <c r="D548" s="31">
        <v>3</v>
      </c>
      <c r="E548" s="145">
        <v>674700</v>
      </c>
      <c r="F548" s="187">
        <f t="shared" si="38"/>
        <v>2024100</v>
      </c>
    </row>
    <row r="549" spans="1:6" ht="43.5" x14ac:dyDescent="0.25">
      <c r="A549" s="405">
        <f t="shared" si="37"/>
        <v>32</v>
      </c>
      <c r="B549" s="406" t="s">
        <v>762</v>
      </c>
      <c r="C549" s="405" t="s">
        <v>37</v>
      </c>
      <c r="D549" s="31">
        <v>3</v>
      </c>
      <c r="E549" s="145">
        <v>519429</v>
      </c>
      <c r="F549" s="187">
        <f t="shared" si="38"/>
        <v>1558287</v>
      </c>
    </row>
    <row r="550" spans="1:6" x14ac:dyDescent="0.25">
      <c r="A550" s="405">
        <f t="shared" si="37"/>
        <v>33</v>
      </c>
      <c r="B550" s="406" t="s">
        <v>288</v>
      </c>
      <c r="C550" s="405" t="s">
        <v>120</v>
      </c>
      <c r="D550" s="31">
        <v>4</v>
      </c>
      <c r="E550" s="145">
        <v>87061</v>
      </c>
      <c r="F550" s="187">
        <f t="shared" si="38"/>
        <v>348244</v>
      </c>
    </row>
    <row r="551" spans="1:6" ht="29.25" x14ac:dyDescent="0.25">
      <c r="A551" s="405">
        <f t="shared" si="37"/>
        <v>34</v>
      </c>
      <c r="B551" s="406" t="s">
        <v>45</v>
      </c>
      <c r="C551" s="405" t="s">
        <v>64</v>
      </c>
      <c r="D551" s="31">
        <v>120</v>
      </c>
      <c r="E551" s="145">
        <v>21334</v>
      </c>
      <c r="F551" s="187">
        <f t="shared" si="38"/>
        <v>2560080</v>
      </c>
    </row>
    <row r="552" spans="1:6" x14ac:dyDescent="0.25">
      <c r="A552" s="405">
        <f t="shared" si="37"/>
        <v>35</v>
      </c>
      <c r="B552" s="406" t="s">
        <v>314</v>
      </c>
      <c r="C552" s="405" t="s">
        <v>64</v>
      </c>
      <c r="D552" s="31">
        <v>24</v>
      </c>
      <c r="E552" s="145">
        <v>19203</v>
      </c>
      <c r="F552" s="187">
        <f t="shared" si="38"/>
        <v>460872</v>
      </c>
    </row>
    <row r="553" spans="1:6" x14ac:dyDescent="0.25">
      <c r="A553" s="405">
        <f t="shared" si="37"/>
        <v>36</v>
      </c>
      <c r="B553" s="188" t="s">
        <v>763</v>
      </c>
      <c r="C553" s="20"/>
      <c r="D553" s="20"/>
      <c r="E553" s="145"/>
      <c r="F553" s="187"/>
    </row>
    <row r="554" spans="1:6" x14ac:dyDescent="0.25">
      <c r="A554" s="405">
        <f t="shared" si="37"/>
        <v>37</v>
      </c>
      <c r="B554" s="406" t="s">
        <v>174</v>
      </c>
      <c r="C554" s="405" t="s">
        <v>20</v>
      </c>
      <c r="D554" s="31">
        <v>118.07</v>
      </c>
      <c r="E554" s="145">
        <v>1093</v>
      </c>
      <c r="F554" s="187">
        <f t="shared" si="38"/>
        <v>129051</v>
      </c>
    </row>
    <row r="555" spans="1:6" ht="29.25" x14ac:dyDescent="0.25">
      <c r="A555" s="405">
        <f t="shared" si="37"/>
        <v>38</v>
      </c>
      <c r="B555" s="406" t="s">
        <v>764</v>
      </c>
      <c r="C555" s="405" t="s">
        <v>115</v>
      </c>
      <c r="D555" s="31">
        <v>1.1599999999999999</v>
      </c>
      <c r="E555" s="145">
        <v>37961</v>
      </c>
      <c r="F555" s="187">
        <f t="shared" si="38"/>
        <v>44035</v>
      </c>
    </row>
    <row r="556" spans="1:6" ht="29.25" x14ac:dyDescent="0.25">
      <c r="A556" s="405">
        <f t="shared" si="37"/>
        <v>39</v>
      </c>
      <c r="B556" s="406" t="s">
        <v>887</v>
      </c>
      <c r="C556" s="405" t="s">
        <v>765</v>
      </c>
      <c r="D556" s="31">
        <v>16.399999999999999</v>
      </c>
      <c r="E556" s="145">
        <v>1086997</v>
      </c>
      <c r="F556" s="187">
        <f t="shared" si="38"/>
        <v>17826751</v>
      </c>
    </row>
    <row r="557" spans="1:6" ht="29.25" x14ac:dyDescent="0.25">
      <c r="A557" s="405">
        <f t="shared" si="37"/>
        <v>40</v>
      </c>
      <c r="B557" s="406" t="s">
        <v>766</v>
      </c>
      <c r="C557" s="405" t="s">
        <v>115</v>
      </c>
      <c r="D557" s="31">
        <v>8</v>
      </c>
      <c r="E557" s="145">
        <v>531854</v>
      </c>
      <c r="F557" s="187">
        <f t="shared" si="38"/>
        <v>4254832</v>
      </c>
    </row>
    <row r="558" spans="1:6" x14ac:dyDescent="0.25">
      <c r="A558" s="405">
        <f t="shared" si="37"/>
        <v>41</v>
      </c>
      <c r="B558" s="406" t="s">
        <v>767</v>
      </c>
      <c r="C558" s="405" t="s">
        <v>115</v>
      </c>
      <c r="D558" s="31">
        <v>0.06</v>
      </c>
      <c r="E558" s="145">
        <v>379169</v>
      </c>
      <c r="F558" s="187">
        <f t="shared" si="38"/>
        <v>22750</v>
      </c>
    </row>
    <row r="559" spans="1:6" x14ac:dyDescent="0.25">
      <c r="A559" s="405">
        <f t="shared" si="37"/>
        <v>42</v>
      </c>
      <c r="B559" s="406" t="s">
        <v>768</v>
      </c>
      <c r="C559" s="405" t="s">
        <v>141</v>
      </c>
      <c r="D559" s="31">
        <v>371.74</v>
      </c>
      <c r="E559" s="145">
        <v>3902</v>
      </c>
      <c r="F559" s="187">
        <f t="shared" si="38"/>
        <v>1450529</v>
      </c>
    </row>
    <row r="560" spans="1:6" x14ac:dyDescent="0.25">
      <c r="A560" s="405">
        <f t="shared" si="37"/>
        <v>43</v>
      </c>
      <c r="B560" s="406" t="s">
        <v>769</v>
      </c>
      <c r="C560" s="405" t="s">
        <v>141</v>
      </c>
      <c r="D560" s="31">
        <v>1089.92</v>
      </c>
      <c r="E560" s="145">
        <v>4464</v>
      </c>
      <c r="F560" s="187">
        <f t="shared" si="38"/>
        <v>4865403</v>
      </c>
    </row>
    <row r="561" spans="1:6" ht="29.25" x14ac:dyDescent="0.25">
      <c r="A561" s="405">
        <f t="shared" si="37"/>
        <v>44</v>
      </c>
      <c r="B561" s="406" t="s">
        <v>770</v>
      </c>
      <c r="C561" s="405" t="s">
        <v>765</v>
      </c>
      <c r="D561" s="31">
        <v>100</v>
      </c>
      <c r="E561" s="145">
        <v>251950</v>
      </c>
      <c r="F561" s="187">
        <f t="shared" si="38"/>
        <v>25195000</v>
      </c>
    </row>
    <row r="562" spans="1:6" ht="29.25" x14ac:dyDescent="0.25">
      <c r="A562" s="405">
        <f t="shared" si="37"/>
        <v>45</v>
      </c>
      <c r="B562" s="406" t="s">
        <v>771</v>
      </c>
      <c r="C562" s="405" t="s">
        <v>120</v>
      </c>
      <c r="D562" s="31">
        <v>4</v>
      </c>
      <c r="E562" s="145">
        <v>154944</v>
      </c>
      <c r="F562" s="187">
        <f t="shared" si="38"/>
        <v>619776</v>
      </c>
    </row>
    <row r="563" spans="1:6" x14ac:dyDescent="0.25">
      <c r="A563" s="405">
        <f t="shared" si="37"/>
        <v>46</v>
      </c>
      <c r="B563" s="406" t="s">
        <v>772</v>
      </c>
      <c r="C563" s="125" t="s">
        <v>542</v>
      </c>
      <c r="D563" s="31">
        <v>2100</v>
      </c>
      <c r="E563" s="145">
        <v>23746</v>
      </c>
      <c r="F563" s="187">
        <f t="shared" si="38"/>
        <v>49866600</v>
      </c>
    </row>
    <row r="564" spans="1:6" ht="29.25" x14ac:dyDescent="0.25">
      <c r="A564" s="405">
        <f t="shared" si="37"/>
        <v>47</v>
      </c>
      <c r="B564" s="406" t="s">
        <v>773</v>
      </c>
      <c r="C564" s="405" t="s">
        <v>774</v>
      </c>
      <c r="D564" s="120">
        <v>525</v>
      </c>
      <c r="E564" s="145">
        <v>4992</v>
      </c>
      <c r="F564" s="187">
        <f t="shared" si="38"/>
        <v>2620800</v>
      </c>
    </row>
    <row r="565" spans="1:6" x14ac:dyDescent="0.25">
      <c r="A565" s="405">
        <f t="shared" si="37"/>
        <v>48</v>
      </c>
      <c r="B565" s="188" t="s">
        <v>775</v>
      </c>
      <c r="C565" s="405"/>
      <c r="D565" s="20"/>
      <c r="E565" s="145"/>
      <c r="F565" s="187"/>
    </row>
    <row r="566" spans="1:6" x14ac:dyDescent="0.25">
      <c r="A566" s="405">
        <f t="shared" si="37"/>
        <v>49</v>
      </c>
      <c r="B566" s="55" t="s">
        <v>174</v>
      </c>
      <c r="C566" s="405" t="s">
        <v>20</v>
      </c>
      <c r="D566" s="31">
        <v>118.7</v>
      </c>
      <c r="E566" s="145">
        <v>1093</v>
      </c>
      <c r="F566" s="187">
        <f t="shared" si="38"/>
        <v>129739</v>
      </c>
    </row>
    <row r="567" spans="1:6" ht="29.25" x14ac:dyDescent="0.25">
      <c r="A567" s="405">
        <f t="shared" si="37"/>
        <v>50</v>
      </c>
      <c r="B567" s="406" t="s">
        <v>776</v>
      </c>
      <c r="C567" s="405" t="s">
        <v>115</v>
      </c>
      <c r="D567" s="31">
        <v>1.1599999999999999</v>
      </c>
      <c r="E567" s="145">
        <v>37961</v>
      </c>
      <c r="F567" s="187">
        <f t="shared" si="38"/>
        <v>44035</v>
      </c>
    </row>
    <row r="568" spans="1:6" ht="29.25" x14ac:dyDescent="0.25">
      <c r="A568" s="405">
        <f t="shared" si="37"/>
        <v>51</v>
      </c>
      <c r="B568" s="406" t="s">
        <v>887</v>
      </c>
      <c r="C568" s="405" t="s">
        <v>765</v>
      </c>
      <c r="D568" s="31">
        <v>18.399999999999999</v>
      </c>
      <c r="E568" s="145">
        <v>1086997</v>
      </c>
      <c r="F568" s="187">
        <f t="shared" si="38"/>
        <v>20000745</v>
      </c>
    </row>
    <row r="569" spans="1:6" ht="29.25" x14ac:dyDescent="0.25">
      <c r="A569" s="405">
        <f t="shared" si="37"/>
        <v>52</v>
      </c>
      <c r="B569" s="406" t="s">
        <v>888</v>
      </c>
      <c r="C569" s="405" t="s">
        <v>115</v>
      </c>
      <c r="D569" s="31">
        <v>8</v>
      </c>
      <c r="E569" s="145">
        <v>531854</v>
      </c>
      <c r="F569" s="187">
        <f t="shared" si="38"/>
        <v>4254832</v>
      </c>
    </row>
    <row r="570" spans="1:6" x14ac:dyDescent="0.25">
      <c r="A570" s="405">
        <f t="shared" si="37"/>
        <v>53</v>
      </c>
      <c r="B570" s="406" t="s">
        <v>767</v>
      </c>
      <c r="C570" s="405" t="s">
        <v>115</v>
      </c>
      <c r="D570" s="31">
        <v>0.06</v>
      </c>
      <c r="E570" s="145">
        <v>379169</v>
      </c>
      <c r="F570" s="187">
        <f t="shared" si="38"/>
        <v>22750</v>
      </c>
    </row>
    <row r="571" spans="1:6" x14ac:dyDescent="0.25">
      <c r="A571" s="405">
        <f t="shared" si="37"/>
        <v>54</v>
      </c>
      <c r="B571" s="406" t="s">
        <v>768</v>
      </c>
      <c r="C571" s="405" t="s">
        <v>141</v>
      </c>
      <c r="D571" s="31">
        <v>371.74</v>
      </c>
      <c r="E571" s="145">
        <v>3902</v>
      </c>
      <c r="F571" s="187">
        <f t="shared" si="38"/>
        <v>1450529</v>
      </c>
    </row>
    <row r="572" spans="1:6" x14ac:dyDescent="0.25">
      <c r="A572" s="405">
        <f t="shared" si="37"/>
        <v>55</v>
      </c>
      <c r="B572" s="406" t="s">
        <v>769</v>
      </c>
      <c r="C572" s="405" t="s">
        <v>141</v>
      </c>
      <c r="D572" s="31">
        <v>1089.92</v>
      </c>
      <c r="E572" s="145">
        <v>4464</v>
      </c>
      <c r="F572" s="187">
        <f t="shared" si="38"/>
        <v>4865403</v>
      </c>
    </row>
    <row r="573" spans="1:6" ht="29.25" x14ac:dyDescent="0.25">
      <c r="A573" s="405">
        <f t="shared" si="37"/>
        <v>56</v>
      </c>
      <c r="B573" s="406" t="s">
        <v>770</v>
      </c>
      <c r="C573" s="405" t="s">
        <v>765</v>
      </c>
      <c r="D573" s="31">
        <v>51.68</v>
      </c>
      <c r="E573" s="145">
        <v>251950</v>
      </c>
      <c r="F573" s="187">
        <f t="shared" si="38"/>
        <v>13020776</v>
      </c>
    </row>
    <row r="574" spans="1:6" ht="29.25" x14ac:dyDescent="0.25">
      <c r="A574" s="405">
        <f t="shared" si="37"/>
        <v>57</v>
      </c>
      <c r="B574" s="406" t="s">
        <v>771</v>
      </c>
      <c r="C574" s="405" t="s">
        <v>120</v>
      </c>
      <c r="D574" s="31">
        <v>4</v>
      </c>
      <c r="E574" s="145">
        <v>154944</v>
      </c>
      <c r="F574" s="187">
        <f t="shared" si="38"/>
        <v>619776</v>
      </c>
    </row>
    <row r="575" spans="1:6" x14ac:dyDescent="0.25">
      <c r="A575" s="405">
        <f t="shared" si="37"/>
        <v>58</v>
      </c>
      <c r="B575" s="406" t="s">
        <v>772</v>
      </c>
      <c r="C575" s="125" t="s">
        <v>542</v>
      </c>
      <c r="D575" s="31">
        <v>1800</v>
      </c>
      <c r="E575" s="145">
        <v>23746</v>
      </c>
      <c r="F575" s="187">
        <f t="shared" si="38"/>
        <v>42742800</v>
      </c>
    </row>
    <row r="576" spans="1:6" ht="29.25" x14ac:dyDescent="0.25">
      <c r="A576" s="405">
        <f t="shared" si="37"/>
        <v>59</v>
      </c>
      <c r="B576" s="406" t="s">
        <v>773</v>
      </c>
      <c r="C576" s="405" t="s">
        <v>774</v>
      </c>
      <c r="D576" s="31">
        <v>450</v>
      </c>
      <c r="E576" s="145">
        <v>4992</v>
      </c>
      <c r="F576" s="187">
        <f t="shared" si="38"/>
        <v>2246400</v>
      </c>
    </row>
    <row r="577" spans="1:6" ht="57.75" x14ac:dyDescent="0.25">
      <c r="A577" s="405">
        <f t="shared" si="37"/>
        <v>60</v>
      </c>
      <c r="B577" s="406" t="s">
        <v>743</v>
      </c>
      <c r="C577" s="405" t="s">
        <v>18</v>
      </c>
      <c r="D577" s="31">
        <v>96</v>
      </c>
      <c r="E577" s="145">
        <v>88230</v>
      </c>
      <c r="F577" s="187">
        <f t="shared" si="38"/>
        <v>8470080</v>
      </c>
    </row>
    <row r="578" spans="1:6" x14ac:dyDescent="0.25">
      <c r="A578" s="405">
        <f t="shared" si="37"/>
        <v>61</v>
      </c>
      <c r="B578" s="406" t="s">
        <v>777</v>
      </c>
      <c r="C578" s="405" t="s">
        <v>18</v>
      </c>
      <c r="D578" s="31">
        <v>90</v>
      </c>
      <c r="E578" s="145">
        <v>19203</v>
      </c>
      <c r="F578" s="187">
        <f t="shared" si="38"/>
        <v>1728270</v>
      </c>
    </row>
    <row r="579" spans="1:6" ht="85.5" x14ac:dyDescent="0.25">
      <c r="A579" s="405">
        <f t="shared" si="37"/>
        <v>62</v>
      </c>
      <c r="B579" s="408" t="s">
        <v>778</v>
      </c>
      <c r="C579" s="405" t="s">
        <v>188</v>
      </c>
      <c r="D579" s="31">
        <v>0.94499999999999995</v>
      </c>
      <c r="E579" s="145">
        <v>986100</v>
      </c>
      <c r="F579" s="187">
        <f t="shared" si="38"/>
        <v>931865</v>
      </c>
    </row>
    <row r="580" spans="1:6" ht="100.5" x14ac:dyDescent="0.25">
      <c r="A580" s="405">
        <f t="shared" si="37"/>
        <v>63</v>
      </c>
      <c r="B580" s="406" t="s">
        <v>779</v>
      </c>
      <c r="C580" s="405" t="s">
        <v>37</v>
      </c>
      <c r="D580" s="31">
        <v>3</v>
      </c>
      <c r="E580" s="145">
        <v>11487546</v>
      </c>
      <c r="F580" s="187">
        <f t="shared" si="38"/>
        <v>34462638</v>
      </c>
    </row>
    <row r="581" spans="1:6" ht="42.75" x14ac:dyDescent="0.25">
      <c r="A581" s="405">
        <f t="shared" si="37"/>
        <v>64</v>
      </c>
      <c r="B581" s="408" t="s">
        <v>780</v>
      </c>
      <c r="C581" s="125" t="s">
        <v>755</v>
      </c>
      <c r="D581" s="31">
        <v>6</v>
      </c>
      <c r="E581" s="145">
        <v>449519</v>
      </c>
      <c r="F581" s="187">
        <f t="shared" si="38"/>
        <v>2697114</v>
      </c>
    </row>
    <row r="582" spans="1:6" ht="43.5" x14ac:dyDescent="0.25">
      <c r="A582" s="405">
        <v>10</v>
      </c>
      <c r="B582" s="406" t="s">
        <v>820</v>
      </c>
      <c r="C582" s="405" t="s">
        <v>55</v>
      </c>
      <c r="D582" s="31">
        <v>4</v>
      </c>
      <c r="E582" s="59">
        <f>1673138</f>
        <v>1673138</v>
      </c>
      <c r="F582" s="187">
        <f t="shared" ref="F582:F583" si="39">D582*E582</f>
        <v>6692552</v>
      </c>
    </row>
    <row r="583" spans="1:6" ht="29.25" x14ac:dyDescent="0.25">
      <c r="A583" s="405">
        <v>11</v>
      </c>
      <c r="B583" s="406" t="s">
        <v>819</v>
      </c>
      <c r="C583" s="405" t="s">
        <v>23</v>
      </c>
      <c r="D583" s="31">
        <v>1</v>
      </c>
      <c r="E583" s="58">
        <v>788768</v>
      </c>
      <c r="F583" s="187">
        <f t="shared" si="39"/>
        <v>788768</v>
      </c>
    </row>
    <row r="584" spans="1:6" x14ac:dyDescent="0.25">
      <c r="A584" s="403"/>
      <c r="B584" s="188" t="s">
        <v>56</v>
      </c>
      <c r="C584" s="54"/>
      <c r="D584" s="130"/>
      <c r="E584" s="28"/>
      <c r="F584" s="79">
        <f>SUM(F519:F583)</f>
        <v>359320729</v>
      </c>
    </row>
    <row r="585" spans="1:6" x14ac:dyDescent="0.25">
      <c r="A585" s="19"/>
      <c r="B585" s="19" t="s">
        <v>60</v>
      </c>
      <c r="C585" s="19"/>
      <c r="D585" s="19"/>
      <c r="E585" s="19"/>
      <c r="F585" s="29">
        <f>ROUND(F584/1.3495,0)</f>
        <v>266262119</v>
      </c>
    </row>
    <row r="586" spans="1:6" x14ac:dyDescent="0.25">
      <c r="A586" s="19"/>
      <c r="B586" s="19" t="s">
        <v>61</v>
      </c>
      <c r="C586" s="131">
        <v>0.24</v>
      </c>
      <c r="D586" s="19"/>
      <c r="E586" s="19"/>
      <c r="F586" s="29">
        <f>ROUND(F585*C586,0)</f>
        <v>63902909</v>
      </c>
    </row>
    <row r="587" spans="1:6" x14ac:dyDescent="0.25">
      <c r="A587" s="19"/>
      <c r="B587" s="19" t="s">
        <v>57</v>
      </c>
      <c r="C587" s="131">
        <v>0.05</v>
      </c>
      <c r="D587" s="19"/>
      <c r="E587" s="19"/>
      <c r="F587" s="29">
        <f>ROUND(F585*C587,0)</f>
        <v>13313106</v>
      </c>
    </row>
    <row r="588" spans="1:6" x14ac:dyDescent="0.25">
      <c r="A588" s="19"/>
      <c r="B588" s="19" t="s">
        <v>62</v>
      </c>
      <c r="C588" s="131">
        <v>0.05</v>
      </c>
      <c r="D588" s="19"/>
      <c r="E588" s="19"/>
      <c r="F588" s="29">
        <f>ROUND(F585*C588,0)</f>
        <v>13313106</v>
      </c>
    </row>
    <row r="589" spans="1:6" x14ac:dyDescent="0.25">
      <c r="A589" s="19"/>
      <c r="B589" s="132" t="s">
        <v>63</v>
      </c>
      <c r="C589" s="133">
        <v>0.19</v>
      </c>
      <c r="D589" s="120"/>
      <c r="E589" s="120"/>
      <c r="F589" s="35">
        <f>ROUND(F588*19%,0)</f>
        <v>2529490</v>
      </c>
    </row>
    <row r="590" spans="1:6" x14ac:dyDescent="0.25">
      <c r="A590" s="19"/>
      <c r="B590" s="18" t="s">
        <v>56</v>
      </c>
      <c r="C590" s="19"/>
      <c r="D590" s="19"/>
      <c r="E590" s="19"/>
      <c r="F590" s="30">
        <f>SUM(F585:F589)</f>
        <v>359320730</v>
      </c>
    </row>
    <row r="593" spans="2:12" ht="15.75" x14ac:dyDescent="0.25">
      <c r="B593" s="472" t="s">
        <v>829</v>
      </c>
      <c r="C593" s="472"/>
      <c r="D593" s="300"/>
      <c r="E593" s="300"/>
      <c r="F593" s="343">
        <f>F590+F475+F438+F396+F360+F279+F239+F204+F158+F124+F78+F43+F506+F318</f>
        <v>850273499</v>
      </c>
      <c r="G593" s="80" t="s">
        <v>1</v>
      </c>
      <c r="H593" s="83" t="s">
        <v>1</v>
      </c>
      <c r="J593" s="80"/>
      <c r="K593" s="298"/>
      <c r="L593" s="83"/>
    </row>
  </sheetData>
  <mergeCells count="86">
    <mergeCell ref="C407:E407"/>
    <mergeCell ref="C371:E371"/>
    <mergeCell ref="A404:F404"/>
    <mergeCell ref="A405:A406"/>
    <mergeCell ref="B405:B406"/>
    <mergeCell ref="C405:C406"/>
    <mergeCell ref="D405:F405"/>
    <mergeCell ref="C330:E330"/>
    <mergeCell ref="A368:F368"/>
    <mergeCell ref="A369:A370"/>
    <mergeCell ref="B369:B370"/>
    <mergeCell ref="C369:C370"/>
    <mergeCell ref="D369:F369"/>
    <mergeCell ref="C251:E251"/>
    <mergeCell ref="A327:F327"/>
    <mergeCell ref="A328:A329"/>
    <mergeCell ref="B328:B329"/>
    <mergeCell ref="C328:C329"/>
    <mergeCell ref="D328:F328"/>
    <mergeCell ref="A287:F287"/>
    <mergeCell ref="A288:A289"/>
    <mergeCell ref="B288:B289"/>
    <mergeCell ref="C288:C289"/>
    <mergeCell ref="D288:F288"/>
    <mergeCell ref="C290:E290"/>
    <mergeCell ref="C209:E209"/>
    <mergeCell ref="A248:F248"/>
    <mergeCell ref="A249:A250"/>
    <mergeCell ref="B249:B250"/>
    <mergeCell ref="C249:C250"/>
    <mergeCell ref="D249:F249"/>
    <mergeCell ref="C169:E169"/>
    <mergeCell ref="A206:F206"/>
    <mergeCell ref="A207:A208"/>
    <mergeCell ref="B207:B208"/>
    <mergeCell ref="C207:C208"/>
    <mergeCell ref="D207:F207"/>
    <mergeCell ref="C129:E129"/>
    <mergeCell ref="A166:F166"/>
    <mergeCell ref="A167:A168"/>
    <mergeCell ref="B167:B168"/>
    <mergeCell ref="C167:C168"/>
    <mergeCell ref="D167:F167"/>
    <mergeCell ref="C89:E89"/>
    <mergeCell ref="A126:F126"/>
    <mergeCell ref="A127:A128"/>
    <mergeCell ref="B127:B128"/>
    <mergeCell ref="C127:C128"/>
    <mergeCell ref="D127:F127"/>
    <mergeCell ref="C49:E49"/>
    <mergeCell ref="A86:F86"/>
    <mergeCell ref="A87:A88"/>
    <mergeCell ref="B87:B88"/>
    <mergeCell ref="C87:C88"/>
    <mergeCell ref="D87:F87"/>
    <mergeCell ref="C7:E7"/>
    <mergeCell ref="A46:F46"/>
    <mergeCell ref="A47:A48"/>
    <mergeCell ref="B47:B48"/>
    <mergeCell ref="C47:C48"/>
    <mergeCell ref="D47:F47"/>
    <mergeCell ref="A2:F2"/>
    <mergeCell ref="A4:F4"/>
    <mergeCell ref="A5:A6"/>
    <mergeCell ref="B5:B6"/>
    <mergeCell ref="C5:C6"/>
    <mergeCell ref="D5:F5"/>
    <mergeCell ref="A440:F440"/>
    <mergeCell ref="A441:A442"/>
    <mergeCell ref="B441:B442"/>
    <mergeCell ref="C441:C442"/>
    <mergeCell ref="D441:F441"/>
    <mergeCell ref="C518:E518"/>
    <mergeCell ref="B593:C593"/>
    <mergeCell ref="C443:E443"/>
    <mergeCell ref="A515:F515"/>
    <mergeCell ref="A516:A517"/>
    <mergeCell ref="B516:B517"/>
    <mergeCell ref="C516:C517"/>
    <mergeCell ref="D516:F516"/>
    <mergeCell ref="A477:F477"/>
    <mergeCell ref="A478:A479"/>
    <mergeCell ref="B478:B479"/>
    <mergeCell ref="C478:C479"/>
    <mergeCell ref="D478:F478"/>
    <mergeCell ref="C480:E480"/>
  </mergeCells>
  <pageMargins left="0.70866141732283472" right="0.70866141732283472" top="0.74803149606299213" bottom="0.74803149606299213" header="0.31496062992125984" footer="0.31496062992125984"/>
  <pageSetup scale="75" orientation="portrait" horizontalDpi="4294967295" verticalDpi="4294967295" r:id="rId1"/>
  <headerFooter>
    <oddHeader>&amp;C&amp;P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6"/>
  <sheetViews>
    <sheetView view="pageLayout" topLeftCell="A854" zoomScaleNormal="100" workbookViewId="0">
      <selection activeCell="A854" sqref="A854"/>
    </sheetView>
  </sheetViews>
  <sheetFormatPr baseColWidth="10" defaultRowHeight="15" x14ac:dyDescent="0.25"/>
  <cols>
    <col min="1" max="1" width="11.85546875" style="81" bestFit="1" customWidth="1"/>
    <col min="2" max="2" width="22.5703125" style="81" customWidth="1"/>
    <col min="3" max="3" width="11.42578125" style="81"/>
    <col min="4" max="4" width="11.85546875" style="81" bestFit="1" customWidth="1"/>
    <col min="5" max="5" width="17.28515625" style="81" customWidth="1"/>
    <col min="6" max="6" width="20.85546875" style="81" bestFit="1" customWidth="1"/>
    <col min="7" max="7" width="11.42578125" style="81"/>
    <col min="8" max="8" width="12.5703125" style="81" bestFit="1" customWidth="1"/>
    <col min="9" max="9" width="11.42578125" style="81"/>
    <col min="10" max="10" width="12.5703125" style="81" bestFit="1" customWidth="1"/>
    <col min="11" max="16384" width="11.42578125" style="81"/>
  </cols>
  <sheetData>
    <row r="2" spans="1:11" x14ac:dyDescent="0.25">
      <c r="A2" s="425" t="s">
        <v>95</v>
      </c>
      <c r="B2" s="425"/>
      <c r="C2" s="425"/>
      <c r="D2" s="425"/>
      <c r="E2" s="425"/>
    </row>
    <row r="4" spans="1:11" x14ac:dyDescent="0.25">
      <c r="A4" s="422" t="s">
        <v>96</v>
      </c>
      <c r="B4" s="422"/>
      <c r="C4" s="422"/>
      <c r="D4" s="422"/>
      <c r="E4" s="422"/>
      <c r="F4" s="422"/>
    </row>
    <row r="5" spans="1:11" x14ac:dyDescent="0.25">
      <c r="A5" s="420" t="s">
        <v>10</v>
      </c>
      <c r="B5" s="420" t="s">
        <v>0</v>
      </c>
      <c r="C5" s="420" t="s">
        <v>11</v>
      </c>
      <c r="D5" s="420" t="s">
        <v>12</v>
      </c>
      <c r="E5" s="420"/>
      <c r="F5" s="420"/>
    </row>
    <row r="6" spans="1:11" x14ac:dyDescent="0.25">
      <c r="A6" s="420"/>
      <c r="B6" s="420"/>
      <c r="C6" s="420"/>
      <c r="D6" s="54" t="s">
        <v>13</v>
      </c>
      <c r="E6" s="54" t="s">
        <v>14</v>
      </c>
      <c r="F6" s="54" t="s">
        <v>15</v>
      </c>
    </row>
    <row r="7" spans="1:11" x14ac:dyDescent="0.25">
      <c r="A7" s="218">
        <v>1</v>
      </c>
      <c r="B7" s="18" t="s">
        <v>16</v>
      </c>
      <c r="C7" s="420"/>
      <c r="D7" s="420"/>
      <c r="E7" s="420"/>
      <c r="F7" s="20"/>
    </row>
    <row r="8" spans="1:11" ht="29.25" x14ac:dyDescent="0.25">
      <c r="A8" s="218">
        <f>A7+1</f>
        <v>2</v>
      </c>
      <c r="B8" s="17" t="s">
        <v>73</v>
      </c>
      <c r="C8" s="218" t="s">
        <v>18</v>
      </c>
      <c r="D8" s="31">
        <v>72</v>
      </c>
      <c r="E8" s="59">
        <v>5214</v>
      </c>
      <c r="F8" s="249">
        <f t="shared" ref="F8:F36" si="0">ROUND(D8*E8,0)</f>
        <v>375408</v>
      </c>
    </row>
    <row r="9" spans="1:11" ht="29.25" x14ac:dyDescent="0.25">
      <c r="A9" s="218">
        <f t="shared" ref="A9:A36" si="1">A8+1</f>
        <v>3</v>
      </c>
      <c r="B9" s="17" t="s">
        <v>19</v>
      </c>
      <c r="C9" s="218" t="s">
        <v>20</v>
      </c>
      <c r="D9" s="31">
        <v>432</v>
      </c>
      <c r="E9" s="59">
        <v>9047</v>
      </c>
      <c r="F9" s="249">
        <f t="shared" si="0"/>
        <v>3908304</v>
      </c>
    </row>
    <row r="10" spans="1:11" ht="43.5" x14ac:dyDescent="0.25">
      <c r="A10" s="218">
        <f t="shared" si="1"/>
        <v>4</v>
      </c>
      <c r="B10" s="17" t="s">
        <v>21</v>
      </c>
      <c r="C10" s="218" t="s">
        <v>18</v>
      </c>
      <c r="D10" s="31">
        <v>156</v>
      </c>
      <c r="E10" s="59">
        <v>13608</v>
      </c>
      <c r="F10" s="249">
        <f t="shared" si="0"/>
        <v>2122848</v>
      </c>
    </row>
    <row r="11" spans="1:11" ht="51" customHeight="1" x14ac:dyDescent="0.25">
      <c r="A11" s="218">
        <f t="shared" si="1"/>
        <v>5</v>
      </c>
      <c r="B11" s="9" t="s">
        <v>22</v>
      </c>
      <c r="C11" s="218" t="s">
        <v>23</v>
      </c>
      <c r="D11" s="31">
        <v>1</v>
      </c>
      <c r="E11" s="59">
        <v>155349</v>
      </c>
      <c r="F11" s="249">
        <f t="shared" si="0"/>
        <v>155349</v>
      </c>
      <c r="J11" s="254"/>
      <c r="K11" s="80"/>
    </row>
    <row r="12" spans="1:11" x14ac:dyDescent="0.25">
      <c r="A12" s="218">
        <f t="shared" si="1"/>
        <v>6</v>
      </c>
      <c r="B12" s="18" t="s">
        <v>25</v>
      </c>
      <c r="C12" s="20"/>
      <c r="D12" s="20"/>
      <c r="E12" s="59">
        <v>0</v>
      </c>
      <c r="F12" s="249">
        <v>0</v>
      </c>
    </row>
    <row r="13" spans="1:11" ht="29.25" x14ac:dyDescent="0.25">
      <c r="A13" s="218">
        <f t="shared" si="1"/>
        <v>7</v>
      </c>
      <c r="B13" s="56" t="s">
        <v>26</v>
      </c>
      <c r="C13" s="218" t="s">
        <v>18</v>
      </c>
      <c r="D13" s="31">
        <v>50</v>
      </c>
      <c r="E13" s="59">
        <v>7630</v>
      </c>
      <c r="F13" s="249">
        <f t="shared" si="0"/>
        <v>381500</v>
      </c>
    </row>
    <row r="14" spans="1:11" ht="72" x14ac:dyDescent="0.25">
      <c r="A14" s="218">
        <f t="shared" si="1"/>
        <v>8</v>
      </c>
      <c r="B14" s="17" t="s">
        <v>27</v>
      </c>
      <c r="C14" s="218" t="s">
        <v>64</v>
      </c>
      <c r="D14" s="31">
        <v>25</v>
      </c>
      <c r="E14" s="59">
        <v>83312</v>
      </c>
      <c r="F14" s="249">
        <f t="shared" si="0"/>
        <v>2082800</v>
      </c>
    </row>
    <row r="15" spans="1:11" x14ac:dyDescent="0.25">
      <c r="A15" s="218">
        <f t="shared" si="1"/>
        <v>9</v>
      </c>
      <c r="B15" s="18" t="s">
        <v>28</v>
      </c>
      <c r="C15" s="20"/>
      <c r="D15" s="20"/>
      <c r="E15" s="242">
        <v>0</v>
      </c>
      <c r="F15" s="249">
        <v>0</v>
      </c>
    </row>
    <row r="16" spans="1:11" ht="29.25" x14ac:dyDescent="0.25">
      <c r="A16" s="218">
        <f t="shared" si="1"/>
        <v>10</v>
      </c>
      <c r="B16" s="17" t="s">
        <v>29</v>
      </c>
      <c r="C16" s="218" t="s">
        <v>64</v>
      </c>
      <c r="D16" s="31">
        <v>148</v>
      </c>
      <c r="E16" s="59">
        <v>26317</v>
      </c>
      <c r="F16" s="249">
        <f t="shared" si="0"/>
        <v>3894916</v>
      </c>
    </row>
    <row r="17" spans="1:6" ht="29.25" x14ac:dyDescent="0.25">
      <c r="A17" s="218">
        <f t="shared" si="1"/>
        <v>11</v>
      </c>
      <c r="B17" s="17" t="s">
        <v>31</v>
      </c>
      <c r="C17" s="218" t="s">
        <v>18</v>
      </c>
      <c r="D17" s="31">
        <v>10</v>
      </c>
      <c r="E17" s="59">
        <v>31128</v>
      </c>
      <c r="F17" s="249">
        <f t="shared" si="0"/>
        <v>311280</v>
      </c>
    </row>
    <row r="18" spans="1:6" ht="43.5" x14ac:dyDescent="0.25">
      <c r="A18" s="218">
        <f t="shared" si="1"/>
        <v>12</v>
      </c>
      <c r="B18" s="17" t="s">
        <v>32</v>
      </c>
      <c r="C18" s="218" t="s">
        <v>64</v>
      </c>
      <c r="D18" s="31">
        <v>62</v>
      </c>
      <c r="E18" s="59">
        <v>32749</v>
      </c>
      <c r="F18" s="249">
        <f t="shared" si="0"/>
        <v>2030438</v>
      </c>
    </row>
    <row r="19" spans="1:6" ht="30" x14ac:dyDescent="0.25">
      <c r="A19" s="218">
        <f t="shared" si="1"/>
        <v>13</v>
      </c>
      <c r="B19" s="188" t="s">
        <v>33</v>
      </c>
      <c r="C19" s="20"/>
      <c r="D19" s="20"/>
      <c r="E19" s="59">
        <v>0</v>
      </c>
      <c r="F19" s="249">
        <v>0</v>
      </c>
    </row>
    <row r="20" spans="1:6" ht="29.25" x14ac:dyDescent="0.25">
      <c r="A20" s="218">
        <f t="shared" si="1"/>
        <v>14</v>
      </c>
      <c r="B20" s="17" t="s">
        <v>66</v>
      </c>
      <c r="C20" s="218" t="s">
        <v>18</v>
      </c>
      <c r="D20" s="31">
        <v>72</v>
      </c>
      <c r="E20" s="59">
        <v>23781</v>
      </c>
      <c r="F20" s="249">
        <f t="shared" si="0"/>
        <v>1712232</v>
      </c>
    </row>
    <row r="21" spans="1:6" ht="85.5" x14ac:dyDescent="0.25">
      <c r="A21" s="218">
        <f t="shared" si="1"/>
        <v>15</v>
      </c>
      <c r="B21" s="57" t="s">
        <v>35</v>
      </c>
      <c r="C21" s="218" t="s">
        <v>18</v>
      </c>
      <c r="D21" s="31">
        <v>3.8</v>
      </c>
      <c r="E21" s="59">
        <v>637411</v>
      </c>
      <c r="F21" s="249">
        <f t="shared" si="0"/>
        <v>2422162</v>
      </c>
    </row>
    <row r="22" spans="1:6" ht="85.5" x14ac:dyDescent="0.25">
      <c r="A22" s="218">
        <f t="shared" si="1"/>
        <v>16</v>
      </c>
      <c r="B22" s="9" t="s">
        <v>97</v>
      </c>
      <c r="C22" s="218" t="s">
        <v>37</v>
      </c>
      <c r="D22" s="31">
        <v>2</v>
      </c>
      <c r="E22" s="59">
        <v>777600</v>
      </c>
      <c r="F22" s="249">
        <f t="shared" si="0"/>
        <v>1555200</v>
      </c>
    </row>
    <row r="23" spans="1:6" x14ac:dyDescent="0.25">
      <c r="A23" s="218">
        <f t="shared" si="1"/>
        <v>17</v>
      </c>
      <c r="B23" s="55" t="s">
        <v>38</v>
      </c>
      <c r="C23" s="218" t="s">
        <v>37</v>
      </c>
      <c r="D23" s="31">
        <v>3</v>
      </c>
      <c r="E23" s="59">
        <v>540447</v>
      </c>
      <c r="F23" s="249">
        <f t="shared" si="0"/>
        <v>1621341</v>
      </c>
    </row>
    <row r="24" spans="1:6" ht="43.5" x14ac:dyDescent="0.25">
      <c r="A24" s="218">
        <f t="shared" si="1"/>
        <v>18</v>
      </c>
      <c r="B24" s="17" t="s">
        <v>39</v>
      </c>
      <c r="C24" s="218" t="s">
        <v>18</v>
      </c>
      <c r="D24" s="31">
        <v>24</v>
      </c>
      <c r="E24" s="59">
        <v>13802</v>
      </c>
      <c r="F24" s="249">
        <f t="shared" si="0"/>
        <v>331248</v>
      </c>
    </row>
    <row r="25" spans="1:6" ht="57.75" x14ac:dyDescent="0.25">
      <c r="A25" s="218">
        <f t="shared" si="1"/>
        <v>19</v>
      </c>
      <c r="B25" s="17" t="s">
        <v>40</v>
      </c>
      <c r="C25" s="218" t="s">
        <v>23</v>
      </c>
      <c r="D25" s="31">
        <v>8</v>
      </c>
      <c r="E25" s="59">
        <v>399818</v>
      </c>
      <c r="F25" s="249">
        <f t="shared" si="0"/>
        <v>3198544</v>
      </c>
    </row>
    <row r="26" spans="1:6" ht="29.25" x14ac:dyDescent="0.25">
      <c r="A26" s="218">
        <f t="shared" si="1"/>
        <v>20</v>
      </c>
      <c r="B26" s="17" t="s">
        <v>67</v>
      </c>
      <c r="C26" s="218" t="s">
        <v>23</v>
      </c>
      <c r="D26" s="31">
        <v>8</v>
      </c>
      <c r="E26" s="59">
        <v>43482</v>
      </c>
      <c r="F26" s="249">
        <f t="shared" si="0"/>
        <v>347856</v>
      </c>
    </row>
    <row r="27" spans="1:6" x14ac:dyDescent="0.25">
      <c r="A27" s="218">
        <f t="shared" si="1"/>
        <v>21</v>
      </c>
      <c r="B27" s="55" t="s">
        <v>42</v>
      </c>
      <c r="C27" s="218" t="s">
        <v>23</v>
      </c>
      <c r="D27" s="31">
        <v>4</v>
      </c>
      <c r="E27" s="59">
        <v>90312</v>
      </c>
      <c r="F27" s="249">
        <f t="shared" si="0"/>
        <v>361248</v>
      </c>
    </row>
    <row r="28" spans="1:6" x14ac:dyDescent="0.25">
      <c r="A28" s="218">
        <f t="shared" si="1"/>
        <v>22</v>
      </c>
      <c r="B28" s="18" t="s">
        <v>43</v>
      </c>
      <c r="C28" s="20"/>
      <c r="D28" s="20"/>
      <c r="E28" s="59">
        <v>0</v>
      </c>
      <c r="F28" s="249">
        <f t="shared" si="0"/>
        <v>0</v>
      </c>
    </row>
    <row r="29" spans="1:6" ht="29.25" x14ac:dyDescent="0.25">
      <c r="A29" s="218">
        <f t="shared" si="1"/>
        <v>23</v>
      </c>
      <c r="B29" s="17" t="s">
        <v>44</v>
      </c>
      <c r="C29" s="218" t="s">
        <v>64</v>
      </c>
      <c r="D29" s="31">
        <v>10</v>
      </c>
      <c r="E29" s="59">
        <v>120657</v>
      </c>
      <c r="F29" s="249">
        <f t="shared" si="0"/>
        <v>1206570</v>
      </c>
    </row>
    <row r="30" spans="1:6" ht="29.25" x14ac:dyDescent="0.25">
      <c r="A30" s="218">
        <f t="shared" si="1"/>
        <v>24</v>
      </c>
      <c r="B30" s="17" t="s">
        <v>45</v>
      </c>
      <c r="C30" s="218" t="s">
        <v>64</v>
      </c>
      <c r="D30" s="31">
        <v>112</v>
      </c>
      <c r="E30" s="59">
        <v>22131</v>
      </c>
      <c r="F30" s="249">
        <f t="shared" si="0"/>
        <v>2478672</v>
      </c>
    </row>
    <row r="31" spans="1:6" ht="29.25" x14ac:dyDescent="0.25">
      <c r="A31" s="218">
        <f t="shared" si="1"/>
        <v>25</v>
      </c>
      <c r="B31" s="17" t="s">
        <v>46</v>
      </c>
      <c r="C31" s="218" t="s">
        <v>64</v>
      </c>
      <c r="D31" s="31">
        <v>20</v>
      </c>
      <c r="E31" s="59">
        <v>144847</v>
      </c>
      <c r="F31" s="249">
        <f t="shared" si="0"/>
        <v>2896940</v>
      </c>
    </row>
    <row r="32" spans="1:6" x14ac:dyDescent="0.25">
      <c r="A32" s="218">
        <f t="shared" si="1"/>
        <v>26</v>
      </c>
      <c r="B32" s="18" t="s">
        <v>48</v>
      </c>
      <c r="C32" s="20"/>
      <c r="D32" s="20"/>
      <c r="E32" s="59">
        <v>0</v>
      </c>
      <c r="F32" s="249">
        <v>0</v>
      </c>
    </row>
    <row r="33" spans="1:11" ht="43.5" x14ac:dyDescent="0.25">
      <c r="A33" s="218">
        <f t="shared" si="1"/>
        <v>27</v>
      </c>
      <c r="B33" s="17" t="s">
        <v>49</v>
      </c>
      <c r="C33" s="218" t="s">
        <v>64</v>
      </c>
      <c r="D33" s="31">
        <v>2</v>
      </c>
      <c r="E33" s="59">
        <v>605480</v>
      </c>
      <c r="F33" s="249">
        <f t="shared" si="0"/>
        <v>1210960</v>
      </c>
    </row>
    <row r="34" spans="1:11" ht="43.5" x14ac:dyDescent="0.25">
      <c r="A34" s="218">
        <f t="shared" si="1"/>
        <v>28</v>
      </c>
      <c r="B34" s="17" t="s">
        <v>50</v>
      </c>
      <c r="C34" s="218" t="s">
        <v>64</v>
      </c>
      <c r="D34" s="31">
        <v>15</v>
      </c>
      <c r="E34" s="59">
        <v>822268</v>
      </c>
      <c r="F34" s="249">
        <f t="shared" si="0"/>
        <v>12334020</v>
      </c>
    </row>
    <row r="35" spans="1:11" x14ac:dyDescent="0.25">
      <c r="A35" s="218">
        <f t="shared" si="1"/>
        <v>29</v>
      </c>
      <c r="B35" s="18" t="s">
        <v>51</v>
      </c>
      <c r="C35" s="20"/>
      <c r="D35" s="20"/>
      <c r="E35" s="59">
        <v>0</v>
      </c>
      <c r="F35" s="249">
        <v>0</v>
      </c>
    </row>
    <row r="36" spans="1:11" ht="29.25" x14ac:dyDescent="0.25">
      <c r="A36" s="218">
        <f t="shared" si="1"/>
        <v>30</v>
      </c>
      <c r="B36" s="17" t="s">
        <v>52</v>
      </c>
      <c r="C36" s="218" t="s">
        <v>53</v>
      </c>
      <c r="D36" s="31">
        <v>36</v>
      </c>
      <c r="E36" s="59">
        <v>5922</v>
      </c>
      <c r="F36" s="249">
        <f t="shared" si="0"/>
        <v>213192</v>
      </c>
      <c r="K36" s="80"/>
    </row>
    <row r="37" spans="1:11" x14ac:dyDescent="0.25">
      <c r="A37" s="216"/>
      <c r="B37" s="18" t="s">
        <v>56</v>
      </c>
      <c r="C37" s="54"/>
      <c r="D37" s="130"/>
      <c r="E37" s="28"/>
      <c r="F37" s="28">
        <f>SUM(F8:F36)</f>
        <v>47153028</v>
      </c>
    </row>
    <row r="38" spans="1:11" x14ac:dyDescent="0.25">
      <c r="A38" s="19"/>
      <c r="B38" s="19" t="s">
        <v>60</v>
      </c>
      <c r="C38" s="19"/>
      <c r="D38" s="19"/>
      <c r="E38" s="19"/>
      <c r="F38" s="29">
        <f>ROUND(F37/1.3495,0)</f>
        <v>34941110</v>
      </c>
    </row>
    <row r="39" spans="1:11" x14ac:dyDescent="0.25">
      <c r="A39" s="19"/>
      <c r="B39" s="19" t="s">
        <v>61</v>
      </c>
      <c r="C39" s="131">
        <v>0.24</v>
      </c>
      <c r="D39" s="19"/>
      <c r="E39" s="19"/>
      <c r="F39" s="29">
        <f>ROUND(F38*C39,0)</f>
        <v>8385866</v>
      </c>
    </row>
    <row r="40" spans="1:11" x14ac:dyDescent="0.25">
      <c r="A40" s="19"/>
      <c r="B40" s="19" t="s">
        <v>57</v>
      </c>
      <c r="C40" s="131">
        <v>0.05</v>
      </c>
      <c r="D40" s="19"/>
      <c r="E40" s="19"/>
      <c r="F40" s="29">
        <f>ROUND(F38*C40,0)</f>
        <v>1747056</v>
      </c>
    </row>
    <row r="41" spans="1:11" x14ac:dyDescent="0.25">
      <c r="A41" s="19"/>
      <c r="B41" s="19" t="s">
        <v>62</v>
      </c>
      <c r="C41" s="131">
        <v>0.05</v>
      </c>
      <c r="D41" s="19"/>
      <c r="E41" s="19"/>
      <c r="F41" s="29">
        <f>ROUND(F38*C41,0)</f>
        <v>1747056</v>
      </c>
    </row>
    <row r="42" spans="1:11" ht="28.5" x14ac:dyDescent="0.25">
      <c r="A42" s="19"/>
      <c r="B42" s="132" t="s">
        <v>63</v>
      </c>
      <c r="C42" s="133">
        <v>0.19</v>
      </c>
      <c r="D42" s="120"/>
      <c r="E42" s="120"/>
      <c r="F42" s="35">
        <f>ROUND(F41*19%,0)</f>
        <v>331941</v>
      </c>
    </row>
    <row r="43" spans="1:11" x14ac:dyDescent="0.25">
      <c r="A43" s="19"/>
      <c r="B43" s="18" t="s">
        <v>56</v>
      </c>
      <c r="C43" s="19"/>
      <c r="D43" s="19"/>
      <c r="E43" s="19"/>
      <c r="F43" s="30">
        <f>SUM(F38:F42)</f>
        <v>47153029</v>
      </c>
    </row>
    <row r="45" spans="1:11" x14ac:dyDescent="0.25">
      <c r="A45" s="422" t="s">
        <v>98</v>
      </c>
      <c r="B45" s="422"/>
      <c r="C45" s="422"/>
      <c r="D45" s="422"/>
      <c r="E45" s="422"/>
      <c r="F45" s="422"/>
    </row>
    <row r="46" spans="1:11" x14ac:dyDescent="0.25">
      <c r="A46" s="420" t="s">
        <v>10</v>
      </c>
      <c r="B46" s="420" t="s">
        <v>0</v>
      </c>
      <c r="C46" s="420" t="s">
        <v>11</v>
      </c>
      <c r="D46" s="420" t="s">
        <v>12</v>
      </c>
      <c r="E46" s="420"/>
      <c r="F46" s="420"/>
    </row>
    <row r="47" spans="1:11" x14ac:dyDescent="0.25">
      <c r="A47" s="420"/>
      <c r="B47" s="420"/>
      <c r="C47" s="420"/>
      <c r="D47" s="54" t="s">
        <v>13</v>
      </c>
      <c r="E47" s="54" t="s">
        <v>14</v>
      </c>
      <c r="F47" s="54" t="s">
        <v>15</v>
      </c>
    </row>
    <row r="48" spans="1:11" x14ac:dyDescent="0.25">
      <c r="A48" s="218">
        <f t="shared" ref="A48:A77" si="2">A47+1</f>
        <v>1</v>
      </c>
      <c r="B48" s="18" t="s">
        <v>16</v>
      </c>
      <c r="C48" s="420"/>
      <c r="D48" s="420"/>
      <c r="E48" s="420"/>
      <c r="F48" s="20"/>
    </row>
    <row r="49" spans="1:11" ht="29.25" x14ac:dyDescent="0.25">
      <c r="A49" s="218">
        <f t="shared" si="2"/>
        <v>2</v>
      </c>
      <c r="B49" s="17" t="s">
        <v>73</v>
      </c>
      <c r="C49" s="218" t="s">
        <v>18</v>
      </c>
      <c r="D49" s="31">
        <v>90</v>
      </c>
      <c r="E49" s="59">
        <v>5214</v>
      </c>
      <c r="F49" s="249">
        <f t="shared" ref="F49:F77" si="3">ROUND(D49*E49,0)</f>
        <v>469260</v>
      </c>
    </row>
    <row r="50" spans="1:11" ht="29.25" x14ac:dyDescent="0.25">
      <c r="A50" s="218">
        <f t="shared" si="2"/>
        <v>3</v>
      </c>
      <c r="B50" s="17" t="s">
        <v>19</v>
      </c>
      <c r="C50" s="218" t="s">
        <v>20</v>
      </c>
      <c r="D50" s="31">
        <v>540</v>
      </c>
      <c r="E50" s="59">
        <v>9047</v>
      </c>
      <c r="F50" s="249">
        <f t="shared" si="3"/>
        <v>4885380</v>
      </c>
    </row>
    <row r="51" spans="1:11" ht="42.75" x14ac:dyDescent="0.25">
      <c r="A51" s="218">
        <f t="shared" si="2"/>
        <v>4</v>
      </c>
      <c r="B51" s="9" t="s">
        <v>21</v>
      </c>
      <c r="C51" s="218" t="s">
        <v>18</v>
      </c>
      <c r="D51" s="31">
        <v>192</v>
      </c>
      <c r="E51" s="59">
        <v>13608</v>
      </c>
      <c r="F51" s="249">
        <f t="shared" si="3"/>
        <v>2612736</v>
      </c>
    </row>
    <row r="52" spans="1:11" ht="44.25" customHeight="1" x14ac:dyDescent="0.25">
      <c r="A52" s="218">
        <f t="shared" si="2"/>
        <v>5</v>
      </c>
      <c r="B52" s="9" t="s">
        <v>22</v>
      </c>
      <c r="C52" s="218" t="s">
        <v>23</v>
      </c>
      <c r="D52" s="31">
        <v>2</v>
      </c>
      <c r="E52" s="59">
        <v>155349</v>
      </c>
      <c r="F52" s="249">
        <f t="shared" si="3"/>
        <v>310698</v>
      </c>
      <c r="J52" s="255"/>
      <c r="K52" s="80"/>
    </row>
    <row r="53" spans="1:11" x14ac:dyDescent="0.25">
      <c r="A53" s="218">
        <f t="shared" si="2"/>
        <v>6</v>
      </c>
      <c r="B53" s="18" t="s">
        <v>25</v>
      </c>
      <c r="C53" s="20"/>
      <c r="D53" s="20"/>
      <c r="E53" s="59">
        <v>0</v>
      </c>
      <c r="F53" s="249">
        <f t="shared" si="3"/>
        <v>0</v>
      </c>
    </row>
    <row r="54" spans="1:11" ht="29.25" x14ac:dyDescent="0.25">
      <c r="A54" s="218">
        <f t="shared" si="2"/>
        <v>7</v>
      </c>
      <c r="B54" s="56" t="s">
        <v>26</v>
      </c>
      <c r="C54" s="218" t="s">
        <v>18</v>
      </c>
      <c r="D54" s="31">
        <v>236</v>
      </c>
      <c r="E54" s="59">
        <v>7630</v>
      </c>
      <c r="F54" s="249">
        <f t="shared" si="3"/>
        <v>1800680</v>
      </c>
    </row>
    <row r="55" spans="1:11" ht="72" x14ac:dyDescent="0.25">
      <c r="A55" s="218">
        <f t="shared" si="2"/>
        <v>8</v>
      </c>
      <c r="B55" s="17" t="s">
        <v>27</v>
      </c>
      <c r="C55" s="218" t="s">
        <v>64</v>
      </c>
      <c r="D55" s="31">
        <v>19</v>
      </c>
      <c r="E55" s="59">
        <v>83312</v>
      </c>
      <c r="F55" s="249">
        <f t="shared" si="3"/>
        <v>1582928</v>
      </c>
    </row>
    <row r="56" spans="1:11" x14ac:dyDescent="0.25">
      <c r="A56" s="218">
        <f t="shared" si="2"/>
        <v>9</v>
      </c>
      <c r="B56" s="18" t="s">
        <v>28</v>
      </c>
      <c r="C56" s="20"/>
      <c r="D56" s="20"/>
      <c r="E56" s="242">
        <v>0</v>
      </c>
      <c r="F56" s="249">
        <f t="shared" si="3"/>
        <v>0</v>
      </c>
    </row>
    <row r="57" spans="1:11" ht="29.25" x14ac:dyDescent="0.25">
      <c r="A57" s="218">
        <f t="shared" si="2"/>
        <v>10</v>
      </c>
      <c r="B57" s="17" t="s">
        <v>29</v>
      </c>
      <c r="C57" s="218" t="s">
        <v>64</v>
      </c>
      <c r="D57" s="31">
        <v>180</v>
      </c>
      <c r="E57" s="59">
        <v>26317</v>
      </c>
      <c r="F57" s="249">
        <f t="shared" si="3"/>
        <v>4737060</v>
      </c>
    </row>
    <row r="58" spans="1:11" ht="29.25" x14ac:dyDescent="0.25">
      <c r="A58" s="218">
        <f t="shared" si="2"/>
        <v>11</v>
      </c>
      <c r="B58" s="17" t="s">
        <v>31</v>
      </c>
      <c r="C58" s="218" t="s">
        <v>18</v>
      </c>
      <c r="D58" s="31">
        <v>10</v>
      </c>
      <c r="E58" s="59">
        <v>31128</v>
      </c>
      <c r="F58" s="249">
        <f t="shared" si="3"/>
        <v>311280</v>
      </c>
    </row>
    <row r="59" spans="1:11" ht="43.5" x14ac:dyDescent="0.25">
      <c r="A59" s="218">
        <f t="shared" si="2"/>
        <v>12</v>
      </c>
      <c r="B59" s="17" t="s">
        <v>32</v>
      </c>
      <c r="C59" s="218" t="s">
        <v>64</v>
      </c>
      <c r="D59" s="31">
        <v>64</v>
      </c>
      <c r="E59" s="59">
        <v>32749</v>
      </c>
      <c r="F59" s="249">
        <f t="shared" si="3"/>
        <v>2095936</v>
      </c>
    </row>
    <row r="60" spans="1:11" x14ac:dyDescent="0.25">
      <c r="A60" s="218">
        <f t="shared" si="2"/>
        <v>13</v>
      </c>
      <c r="B60" s="18" t="s">
        <v>33</v>
      </c>
      <c r="C60" s="20"/>
      <c r="D60" s="20"/>
      <c r="E60" s="59">
        <v>0</v>
      </c>
      <c r="F60" s="249">
        <f t="shared" si="3"/>
        <v>0</v>
      </c>
    </row>
    <row r="61" spans="1:11" ht="29.25" x14ac:dyDescent="0.25">
      <c r="A61" s="218">
        <f t="shared" si="2"/>
        <v>14</v>
      </c>
      <c r="B61" s="17" t="s">
        <v>99</v>
      </c>
      <c r="C61" s="218" t="s">
        <v>18</v>
      </c>
      <c r="D61" s="31">
        <v>90</v>
      </c>
      <c r="E61" s="59">
        <v>27734</v>
      </c>
      <c r="F61" s="249">
        <f t="shared" si="3"/>
        <v>2496060</v>
      </c>
    </row>
    <row r="62" spans="1:11" ht="85.5" x14ac:dyDescent="0.25">
      <c r="A62" s="218">
        <f t="shared" si="2"/>
        <v>15</v>
      </c>
      <c r="B62" s="57" t="s">
        <v>35</v>
      </c>
      <c r="C62" s="218" t="s">
        <v>18</v>
      </c>
      <c r="D62" s="31">
        <v>4</v>
      </c>
      <c r="E62" s="59">
        <v>637411</v>
      </c>
      <c r="F62" s="249">
        <f t="shared" si="3"/>
        <v>2549644</v>
      </c>
    </row>
    <row r="63" spans="1:11" ht="85.5" x14ac:dyDescent="0.25">
      <c r="A63" s="218">
        <f t="shared" si="2"/>
        <v>16</v>
      </c>
      <c r="B63" s="9" t="s">
        <v>100</v>
      </c>
      <c r="C63" s="218" t="s">
        <v>37</v>
      </c>
      <c r="D63" s="31">
        <v>4</v>
      </c>
      <c r="E63" s="59">
        <v>777600</v>
      </c>
      <c r="F63" s="249">
        <f t="shared" si="3"/>
        <v>3110400</v>
      </c>
    </row>
    <row r="64" spans="1:11" x14ac:dyDescent="0.25">
      <c r="A64" s="218">
        <f t="shared" si="2"/>
        <v>17</v>
      </c>
      <c r="B64" s="55" t="s">
        <v>38</v>
      </c>
      <c r="C64" s="218" t="s">
        <v>37</v>
      </c>
      <c r="D64" s="31">
        <v>4</v>
      </c>
      <c r="E64" s="59">
        <v>540447</v>
      </c>
      <c r="F64" s="249">
        <f t="shared" si="3"/>
        <v>2161788</v>
      </c>
    </row>
    <row r="65" spans="1:11" ht="43.5" x14ac:dyDescent="0.25">
      <c r="A65" s="218">
        <f t="shared" si="2"/>
        <v>18</v>
      </c>
      <c r="B65" s="17" t="s">
        <v>39</v>
      </c>
      <c r="C65" s="218" t="s">
        <v>18</v>
      </c>
      <c r="D65" s="31">
        <v>30</v>
      </c>
      <c r="E65" s="59">
        <v>13802</v>
      </c>
      <c r="F65" s="249">
        <f t="shared" si="3"/>
        <v>414060</v>
      </c>
    </row>
    <row r="66" spans="1:11" ht="57.75" x14ac:dyDescent="0.25">
      <c r="A66" s="218">
        <f t="shared" si="2"/>
        <v>19</v>
      </c>
      <c r="B66" s="17" t="s">
        <v>40</v>
      </c>
      <c r="C66" s="218" t="s">
        <v>23</v>
      </c>
      <c r="D66" s="31">
        <v>7</v>
      </c>
      <c r="E66" s="59">
        <v>399818</v>
      </c>
      <c r="F66" s="249">
        <f t="shared" si="3"/>
        <v>2798726</v>
      </c>
    </row>
    <row r="67" spans="1:11" ht="29.25" x14ac:dyDescent="0.25">
      <c r="A67" s="218">
        <f t="shared" si="2"/>
        <v>20</v>
      </c>
      <c r="B67" s="17" t="s">
        <v>101</v>
      </c>
      <c r="C67" s="218" t="s">
        <v>23</v>
      </c>
      <c r="D67" s="31">
        <v>16</v>
      </c>
      <c r="E67" s="59">
        <v>43482</v>
      </c>
      <c r="F67" s="249">
        <f t="shared" si="3"/>
        <v>695712</v>
      </c>
    </row>
    <row r="68" spans="1:11" x14ac:dyDescent="0.25">
      <c r="A68" s="218">
        <f t="shared" si="2"/>
        <v>21</v>
      </c>
      <c r="B68" s="55" t="s">
        <v>42</v>
      </c>
      <c r="C68" s="218" t="s">
        <v>23</v>
      </c>
      <c r="D68" s="31">
        <v>4</v>
      </c>
      <c r="E68" s="59">
        <v>90312</v>
      </c>
      <c r="F68" s="249">
        <f t="shared" si="3"/>
        <v>361248</v>
      </c>
    </row>
    <row r="69" spans="1:11" x14ac:dyDescent="0.25">
      <c r="A69" s="218">
        <f t="shared" si="2"/>
        <v>22</v>
      </c>
      <c r="B69" s="18" t="s">
        <v>43</v>
      </c>
      <c r="C69" s="20"/>
      <c r="D69" s="20"/>
      <c r="E69" s="59">
        <v>0</v>
      </c>
      <c r="F69" s="249">
        <f t="shared" si="3"/>
        <v>0</v>
      </c>
    </row>
    <row r="70" spans="1:11" ht="29.25" x14ac:dyDescent="0.25">
      <c r="A70" s="218">
        <f t="shared" si="2"/>
        <v>23</v>
      </c>
      <c r="B70" s="17" t="s">
        <v>44</v>
      </c>
      <c r="C70" s="218" t="s">
        <v>64</v>
      </c>
      <c r="D70" s="31">
        <v>12</v>
      </c>
      <c r="E70" s="59">
        <v>120657</v>
      </c>
      <c r="F70" s="249">
        <f t="shared" si="3"/>
        <v>1447884</v>
      </c>
    </row>
    <row r="71" spans="1:11" ht="29.25" x14ac:dyDescent="0.25">
      <c r="A71" s="218">
        <f t="shared" si="2"/>
        <v>24</v>
      </c>
      <c r="B71" s="17" t="s">
        <v>45</v>
      </c>
      <c r="C71" s="218" t="s">
        <v>64</v>
      </c>
      <c r="D71" s="31">
        <v>132</v>
      </c>
      <c r="E71" s="59">
        <v>22131</v>
      </c>
      <c r="F71" s="249">
        <f t="shared" si="3"/>
        <v>2921292</v>
      </c>
    </row>
    <row r="72" spans="1:11" ht="29.25" x14ac:dyDescent="0.25">
      <c r="A72" s="218">
        <f t="shared" si="2"/>
        <v>25</v>
      </c>
      <c r="B72" s="17" t="s">
        <v>46</v>
      </c>
      <c r="C72" s="218" t="s">
        <v>64</v>
      </c>
      <c r="D72" s="31">
        <v>25</v>
      </c>
      <c r="E72" s="59">
        <v>144847</v>
      </c>
      <c r="F72" s="249">
        <f t="shared" si="3"/>
        <v>3621175</v>
      </c>
    </row>
    <row r="73" spans="1:11" x14ac:dyDescent="0.25">
      <c r="A73" s="218">
        <f t="shared" si="2"/>
        <v>26</v>
      </c>
      <c r="B73" s="18" t="s">
        <v>48</v>
      </c>
      <c r="C73" s="20"/>
      <c r="D73" s="20"/>
      <c r="E73" s="59">
        <v>0</v>
      </c>
      <c r="F73" s="249">
        <f t="shared" si="3"/>
        <v>0</v>
      </c>
    </row>
    <row r="74" spans="1:11" ht="43.5" x14ac:dyDescent="0.25">
      <c r="A74" s="218">
        <f t="shared" si="2"/>
        <v>27</v>
      </c>
      <c r="B74" s="17" t="s">
        <v>49</v>
      </c>
      <c r="C74" s="218" t="s">
        <v>64</v>
      </c>
      <c r="D74" s="31">
        <v>1</v>
      </c>
      <c r="E74" s="59">
        <v>605480</v>
      </c>
      <c r="F74" s="249">
        <f t="shared" si="3"/>
        <v>605480</v>
      </c>
    </row>
    <row r="75" spans="1:11" ht="43.5" x14ac:dyDescent="0.25">
      <c r="A75" s="218">
        <f t="shared" si="2"/>
        <v>28</v>
      </c>
      <c r="B75" s="17" t="s">
        <v>50</v>
      </c>
      <c r="C75" s="218" t="s">
        <v>64</v>
      </c>
      <c r="D75" s="31">
        <v>18</v>
      </c>
      <c r="E75" s="59">
        <v>822268</v>
      </c>
      <c r="F75" s="249">
        <f t="shared" si="3"/>
        <v>14800824</v>
      </c>
    </row>
    <row r="76" spans="1:11" x14ac:dyDescent="0.25">
      <c r="A76" s="218">
        <f t="shared" si="2"/>
        <v>29</v>
      </c>
      <c r="B76" s="18" t="s">
        <v>51</v>
      </c>
      <c r="C76" s="20"/>
      <c r="D76" s="20"/>
      <c r="E76" s="59">
        <v>0</v>
      </c>
      <c r="F76" s="249">
        <f t="shared" si="3"/>
        <v>0</v>
      </c>
    </row>
    <row r="77" spans="1:11" ht="29.25" x14ac:dyDescent="0.25">
      <c r="A77" s="218">
        <f t="shared" si="2"/>
        <v>30</v>
      </c>
      <c r="B77" s="17" t="s">
        <v>52</v>
      </c>
      <c r="C77" s="218" t="s">
        <v>53</v>
      </c>
      <c r="D77" s="31">
        <v>60</v>
      </c>
      <c r="E77" s="59">
        <v>5922</v>
      </c>
      <c r="F77" s="249">
        <f t="shared" si="3"/>
        <v>355320</v>
      </c>
      <c r="K77" s="80"/>
    </row>
    <row r="78" spans="1:11" x14ac:dyDescent="0.25">
      <c r="A78" s="216"/>
      <c r="B78" s="18" t="s">
        <v>56</v>
      </c>
      <c r="C78" s="54"/>
      <c r="D78" s="130"/>
      <c r="E78" s="28"/>
      <c r="F78" s="28">
        <f>ROUND((F77+F76+F75+F74+F73+F72+F71+F70+F69+F68+F67+F66+F65+F64+F63+F62+F61+F60+F59+F58+F57+F56+F55+F54+F53+F52+F51+F50+F49),0)</f>
        <v>57145571</v>
      </c>
    </row>
    <row r="79" spans="1:11" x14ac:dyDescent="0.25">
      <c r="A79" s="19"/>
      <c r="B79" s="19" t="s">
        <v>60</v>
      </c>
      <c r="C79" s="19"/>
      <c r="D79" s="19"/>
      <c r="E79" s="19"/>
      <c r="F79" s="29">
        <f>ROUND(F78/1.3495,0)</f>
        <v>42345736</v>
      </c>
    </row>
    <row r="80" spans="1:11" x14ac:dyDescent="0.25">
      <c r="A80" s="19"/>
      <c r="B80" s="19" t="s">
        <v>61</v>
      </c>
      <c r="C80" s="131">
        <v>0.24</v>
      </c>
      <c r="D80" s="19"/>
      <c r="E80" s="19"/>
      <c r="F80" s="29">
        <f>ROUND(F79*C80,0)</f>
        <v>10162977</v>
      </c>
    </row>
    <row r="81" spans="1:11" x14ac:dyDescent="0.25">
      <c r="A81" s="19"/>
      <c r="B81" s="19" t="s">
        <v>57</v>
      </c>
      <c r="C81" s="131">
        <v>0.05</v>
      </c>
      <c r="D81" s="19"/>
      <c r="E81" s="19"/>
      <c r="F81" s="29">
        <f>ROUND(F79*C81,0)</f>
        <v>2117287</v>
      </c>
    </row>
    <row r="82" spans="1:11" x14ac:dyDescent="0.25">
      <c r="A82" s="19"/>
      <c r="B82" s="19" t="s">
        <v>62</v>
      </c>
      <c r="C82" s="131">
        <v>0.05</v>
      </c>
      <c r="D82" s="19"/>
      <c r="E82" s="19"/>
      <c r="F82" s="29">
        <f>ROUND(F79*C82,0)</f>
        <v>2117287</v>
      </c>
    </row>
    <row r="83" spans="1:11" ht="29.25" x14ac:dyDescent="0.25">
      <c r="A83" s="19"/>
      <c r="B83" s="13" t="s">
        <v>63</v>
      </c>
      <c r="C83" s="133">
        <v>0.19</v>
      </c>
      <c r="D83" s="120"/>
      <c r="E83" s="120"/>
      <c r="F83" s="35">
        <f>ROUND(F82*19%,0)</f>
        <v>402285</v>
      </c>
    </row>
    <row r="84" spans="1:11" x14ac:dyDescent="0.25">
      <c r="A84" s="19"/>
      <c r="B84" s="18" t="s">
        <v>56</v>
      </c>
      <c r="C84" s="19"/>
      <c r="D84" s="19"/>
      <c r="E84" s="19"/>
      <c r="F84" s="30">
        <f>SUM(F79:F83)</f>
        <v>57145572</v>
      </c>
    </row>
    <row r="86" spans="1:11" x14ac:dyDescent="0.25">
      <c r="A86" s="422" t="s">
        <v>102</v>
      </c>
      <c r="B86" s="422"/>
      <c r="C86" s="422"/>
      <c r="D86" s="422"/>
      <c r="E86" s="422"/>
      <c r="F86" s="422"/>
    </row>
    <row r="87" spans="1:11" x14ac:dyDescent="0.25">
      <c r="A87" s="420" t="s">
        <v>10</v>
      </c>
      <c r="B87" s="420" t="s">
        <v>0</v>
      </c>
      <c r="C87" s="420" t="s">
        <v>11</v>
      </c>
      <c r="D87" s="420" t="s">
        <v>12</v>
      </c>
      <c r="E87" s="420"/>
      <c r="F87" s="420"/>
    </row>
    <row r="88" spans="1:11" x14ac:dyDescent="0.25">
      <c r="A88" s="420"/>
      <c r="B88" s="420"/>
      <c r="C88" s="420"/>
      <c r="D88" s="54" t="s">
        <v>13</v>
      </c>
      <c r="E88" s="54" t="s">
        <v>14</v>
      </c>
      <c r="F88" s="54" t="s">
        <v>15</v>
      </c>
    </row>
    <row r="89" spans="1:11" x14ac:dyDescent="0.25">
      <c r="A89" s="218">
        <f t="shared" ref="A89:A118" si="4">A88+1</f>
        <v>1</v>
      </c>
      <c r="B89" s="18" t="s">
        <v>16</v>
      </c>
      <c r="C89" s="420"/>
      <c r="D89" s="420"/>
      <c r="E89" s="420"/>
      <c r="F89" s="20"/>
    </row>
    <row r="90" spans="1:11" ht="29.25" x14ac:dyDescent="0.25">
      <c r="A90" s="218">
        <f t="shared" si="4"/>
        <v>2</v>
      </c>
      <c r="B90" s="17" t="s">
        <v>73</v>
      </c>
      <c r="C90" s="218" t="s">
        <v>18</v>
      </c>
      <c r="D90" s="31">
        <v>102</v>
      </c>
      <c r="E90" s="59">
        <v>5214</v>
      </c>
      <c r="F90" s="249">
        <f t="shared" ref="F90:F118" si="5">ROUND(D90*E90,0)</f>
        <v>531828</v>
      </c>
    </row>
    <row r="91" spans="1:11" ht="29.25" x14ac:dyDescent="0.25">
      <c r="A91" s="218">
        <f t="shared" si="4"/>
        <v>3</v>
      </c>
      <c r="B91" s="17" t="s">
        <v>19</v>
      </c>
      <c r="C91" s="218" t="s">
        <v>20</v>
      </c>
      <c r="D91" s="31">
        <v>612</v>
      </c>
      <c r="E91" s="59">
        <v>9047</v>
      </c>
      <c r="F91" s="249">
        <f t="shared" si="5"/>
        <v>5536764</v>
      </c>
    </row>
    <row r="92" spans="1:11" ht="43.5" x14ac:dyDescent="0.25">
      <c r="A92" s="218">
        <f t="shared" si="4"/>
        <v>4</v>
      </c>
      <c r="B92" s="17" t="s">
        <v>21</v>
      </c>
      <c r="C92" s="218" t="s">
        <v>18</v>
      </c>
      <c r="D92" s="31">
        <v>216</v>
      </c>
      <c r="E92" s="59">
        <v>13608</v>
      </c>
      <c r="F92" s="249">
        <f t="shared" si="5"/>
        <v>2939328</v>
      </c>
    </row>
    <row r="93" spans="1:11" ht="29.25" x14ac:dyDescent="0.25">
      <c r="A93" s="218">
        <f t="shared" si="4"/>
        <v>5</v>
      </c>
      <c r="B93" s="17" t="s">
        <v>22</v>
      </c>
      <c r="C93" s="218" t="s">
        <v>23</v>
      </c>
      <c r="D93" s="31">
        <v>2</v>
      </c>
      <c r="E93" s="59">
        <v>155349</v>
      </c>
      <c r="F93" s="249">
        <f t="shared" si="5"/>
        <v>310698</v>
      </c>
      <c r="K93" s="80"/>
    </row>
    <row r="94" spans="1:11" x14ac:dyDescent="0.25">
      <c r="A94" s="218">
        <f t="shared" si="4"/>
        <v>6</v>
      </c>
      <c r="B94" s="18" t="s">
        <v>25</v>
      </c>
      <c r="C94" s="20"/>
      <c r="D94" s="20"/>
      <c r="E94" s="59">
        <v>0</v>
      </c>
      <c r="F94" s="249">
        <f t="shared" si="5"/>
        <v>0</v>
      </c>
    </row>
    <row r="95" spans="1:11" ht="29.25" x14ac:dyDescent="0.25">
      <c r="A95" s="218">
        <f t="shared" si="4"/>
        <v>7</v>
      </c>
      <c r="B95" s="56" t="s">
        <v>26</v>
      </c>
      <c r="C95" s="218" t="s">
        <v>18</v>
      </c>
      <c r="D95" s="31">
        <v>218</v>
      </c>
      <c r="E95" s="59">
        <v>7630</v>
      </c>
      <c r="F95" s="249">
        <f t="shared" si="5"/>
        <v>1663340</v>
      </c>
    </row>
    <row r="96" spans="1:11" ht="72" x14ac:dyDescent="0.25">
      <c r="A96" s="218">
        <f t="shared" si="4"/>
        <v>8</v>
      </c>
      <c r="B96" s="17" t="s">
        <v>27</v>
      </c>
      <c r="C96" s="218" t="s">
        <v>64</v>
      </c>
      <c r="D96" s="31">
        <v>3</v>
      </c>
      <c r="E96" s="59">
        <v>83312</v>
      </c>
      <c r="F96" s="249">
        <f t="shared" si="5"/>
        <v>249936</v>
      </c>
    </row>
    <row r="97" spans="1:6" x14ac:dyDescent="0.25">
      <c r="A97" s="218">
        <f t="shared" si="4"/>
        <v>9</v>
      </c>
      <c r="B97" s="18" t="s">
        <v>28</v>
      </c>
      <c r="C97" s="20"/>
      <c r="D97" s="20"/>
      <c r="E97" s="59">
        <v>0</v>
      </c>
      <c r="F97" s="249">
        <f t="shared" si="5"/>
        <v>0</v>
      </c>
    </row>
    <row r="98" spans="1:6" ht="29.25" x14ac:dyDescent="0.25">
      <c r="A98" s="218">
        <f t="shared" si="4"/>
        <v>10</v>
      </c>
      <c r="B98" s="17" t="s">
        <v>29</v>
      </c>
      <c r="C98" s="218" t="s">
        <v>64</v>
      </c>
      <c r="D98" s="31">
        <v>291.24</v>
      </c>
      <c r="E98" s="59">
        <v>26317</v>
      </c>
      <c r="F98" s="249">
        <f t="shared" si="5"/>
        <v>7664563</v>
      </c>
    </row>
    <row r="99" spans="1:6" ht="29.25" x14ac:dyDescent="0.25">
      <c r="A99" s="218">
        <f t="shared" si="4"/>
        <v>11</v>
      </c>
      <c r="B99" s="17" t="s">
        <v>31</v>
      </c>
      <c r="C99" s="218" t="s">
        <v>18</v>
      </c>
      <c r="D99" s="31">
        <v>10</v>
      </c>
      <c r="E99" s="59">
        <v>31128</v>
      </c>
      <c r="F99" s="249">
        <f t="shared" si="5"/>
        <v>311280</v>
      </c>
    </row>
    <row r="100" spans="1:6" ht="43.5" x14ac:dyDescent="0.25">
      <c r="A100" s="218">
        <f t="shared" si="4"/>
        <v>12</v>
      </c>
      <c r="B100" s="17" t="s">
        <v>32</v>
      </c>
      <c r="C100" s="218" t="s">
        <v>64</v>
      </c>
      <c r="D100" s="31">
        <v>74</v>
      </c>
      <c r="E100" s="59">
        <v>32749</v>
      </c>
      <c r="F100" s="249">
        <f t="shared" si="5"/>
        <v>2423426</v>
      </c>
    </row>
    <row r="101" spans="1:6" ht="30" x14ac:dyDescent="0.25">
      <c r="A101" s="218">
        <f t="shared" si="4"/>
        <v>13</v>
      </c>
      <c r="B101" s="188" t="s">
        <v>33</v>
      </c>
      <c r="C101" s="20"/>
      <c r="D101" s="20"/>
      <c r="E101" s="242">
        <v>0</v>
      </c>
      <c r="F101" s="249">
        <f t="shared" si="5"/>
        <v>0</v>
      </c>
    </row>
    <row r="102" spans="1:6" ht="29.25" x14ac:dyDescent="0.25">
      <c r="A102" s="218">
        <f t="shared" si="4"/>
        <v>14</v>
      </c>
      <c r="B102" s="17" t="s">
        <v>66</v>
      </c>
      <c r="C102" s="218" t="s">
        <v>18</v>
      </c>
      <c r="D102" s="31">
        <v>102</v>
      </c>
      <c r="E102" s="59">
        <v>23781</v>
      </c>
      <c r="F102" s="249">
        <f t="shared" si="5"/>
        <v>2425662</v>
      </c>
    </row>
    <row r="103" spans="1:6" ht="85.5" x14ac:dyDescent="0.25">
      <c r="A103" s="218">
        <f t="shared" si="4"/>
        <v>15</v>
      </c>
      <c r="B103" s="57" t="s">
        <v>35</v>
      </c>
      <c r="C103" s="218" t="s">
        <v>18</v>
      </c>
      <c r="D103" s="31">
        <v>1</v>
      </c>
      <c r="E103" s="59">
        <v>637411</v>
      </c>
      <c r="F103" s="249">
        <f t="shared" si="5"/>
        <v>637411</v>
      </c>
    </row>
    <row r="104" spans="1:6" ht="85.5" x14ac:dyDescent="0.25">
      <c r="A104" s="218">
        <f t="shared" si="4"/>
        <v>16</v>
      </c>
      <c r="B104" s="9" t="s">
        <v>100</v>
      </c>
      <c r="C104" s="218" t="s">
        <v>37</v>
      </c>
      <c r="D104" s="31">
        <v>2</v>
      </c>
      <c r="E104" s="59">
        <v>777600</v>
      </c>
      <c r="F104" s="249">
        <f t="shared" si="5"/>
        <v>1555200</v>
      </c>
    </row>
    <row r="105" spans="1:6" x14ac:dyDescent="0.25">
      <c r="A105" s="218">
        <f t="shared" si="4"/>
        <v>17</v>
      </c>
      <c r="B105" s="55" t="s">
        <v>38</v>
      </c>
      <c r="C105" s="218" t="s">
        <v>37</v>
      </c>
      <c r="D105" s="31">
        <v>2</v>
      </c>
      <c r="E105" s="59">
        <v>540447</v>
      </c>
      <c r="F105" s="249">
        <f t="shared" si="5"/>
        <v>1080894</v>
      </c>
    </row>
    <row r="106" spans="1:6" ht="43.5" x14ac:dyDescent="0.25">
      <c r="A106" s="218">
        <f t="shared" si="4"/>
        <v>18</v>
      </c>
      <c r="B106" s="17" t="s">
        <v>39</v>
      </c>
      <c r="C106" s="218" t="s">
        <v>18</v>
      </c>
      <c r="D106" s="31">
        <v>102</v>
      </c>
      <c r="E106" s="59">
        <v>13802</v>
      </c>
      <c r="F106" s="249">
        <f t="shared" si="5"/>
        <v>1407804</v>
      </c>
    </row>
    <row r="107" spans="1:6" ht="57.75" x14ac:dyDescent="0.25">
      <c r="A107" s="218">
        <f t="shared" si="4"/>
        <v>19</v>
      </c>
      <c r="B107" s="17" t="s">
        <v>40</v>
      </c>
      <c r="C107" s="218" t="s">
        <v>23</v>
      </c>
      <c r="D107" s="31">
        <v>20</v>
      </c>
      <c r="E107" s="59">
        <v>399818</v>
      </c>
      <c r="F107" s="249">
        <f t="shared" si="5"/>
        <v>7996360</v>
      </c>
    </row>
    <row r="108" spans="1:6" ht="29.25" x14ac:dyDescent="0.25">
      <c r="A108" s="218">
        <f t="shared" si="4"/>
        <v>20</v>
      </c>
      <c r="B108" s="17" t="s">
        <v>67</v>
      </c>
      <c r="C108" s="218" t="s">
        <v>23</v>
      </c>
      <c r="D108" s="31">
        <v>20</v>
      </c>
      <c r="E108" s="59">
        <v>43482</v>
      </c>
      <c r="F108" s="249">
        <f t="shared" si="5"/>
        <v>869640</v>
      </c>
    </row>
    <row r="109" spans="1:6" x14ac:dyDescent="0.25">
      <c r="A109" s="218">
        <f t="shared" si="4"/>
        <v>21</v>
      </c>
      <c r="B109" s="55" t="s">
        <v>42</v>
      </c>
      <c r="C109" s="218" t="s">
        <v>23</v>
      </c>
      <c r="D109" s="31">
        <v>2</v>
      </c>
      <c r="E109" s="59">
        <v>90312</v>
      </c>
      <c r="F109" s="249">
        <f t="shared" si="5"/>
        <v>180624</v>
      </c>
    </row>
    <row r="110" spans="1:6" x14ac:dyDescent="0.25">
      <c r="A110" s="218">
        <f t="shared" si="4"/>
        <v>22</v>
      </c>
      <c r="B110" s="18" t="s">
        <v>43</v>
      </c>
      <c r="C110" s="20"/>
      <c r="D110" s="20"/>
      <c r="E110" s="59">
        <v>0</v>
      </c>
      <c r="F110" s="249">
        <f t="shared" si="5"/>
        <v>0</v>
      </c>
    </row>
    <row r="111" spans="1:6" ht="29.25" x14ac:dyDescent="0.25">
      <c r="A111" s="218">
        <f t="shared" si="4"/>
        <v>23</v>
      </c>
      <c r="B111" s="17" t="s">
        <v>44</v>
      </c>
      <c r="C111" s="218" t="s">
        <v>64</v>
      </c>
      <c r="D111" s="31">
        <v>20</v>
      </c>
      <c r="E111" s="59">
        <v>120657</v>
      </c>
      <c r="F111" s="249">
        <f t="shared" si="5"/>
        <v>2413140</v>
      </c>
    </row>
    <row r="112" spans="1:6" ht="29.25" x14ac:dyDescent="0.25">
      <c r="A112" s="218">
        <f t="shared" si="4"/>
        <v>24</v>
      </c>
      <c r="B112" s="17" t="s">
        <v>45</v>
      </c>
      <c r="C112" s="218" t="s">
        <v>64</v>
      </c>
      <c r="D112" s="31">
        <v>222</v>
      </c>
      <c r="E112" s="59">
        <v>22131</v>
      </c>
      <c r="F112" s="249">
        <f t="shared" si="5"/>
        <v>4913082</v>
      </c>
    </row>
    <row r="113" spans="1:11" x14ac:dyDescent="0.25">
      <c r="A113" s="218">
        <f t="shared" si="4"/>
        <v>25</v>
      </c>
      <c r="B113" s="55" t="s">
        <v>47</v>
      </c>
      <c r="C113" s="218" t="s">
        <v>64</v>
      </c>
      <c r="D113" s="31">
        <v>24</v>
      </c>
      <c r="E113" s="59">
        <v>85000</v>
      </c>
      <c r="F113" s="249">
        <f t="shared" si="5"/>
        <v>2040000</v>
      </c>
    </row>
    <row r="114" spans="1:11" x14ac:dyDescent="0.25">
      <c r="A114" s="218">
        <f t="shared" si="4"/>
        <v>26</v>
      </c>
      <c r="B114" s="18" t="s">
        <v>48</v>
      </c>
      <c r="C114" s="20"/>
      <c r="D114" s="20"/>
      <c r="E114" s="59">
        <v>0</v>
      </c>
      <c r="F114" s="249">
        <f t="shared" si="5"/>
        <v>0</v>
      </c>
    </row>
    <row r="115" spans="1:11" ht="43.5" x14ac:dyDescent="0.25">
      <c r="A115" s="218">
        <f t="shared" si="4"/>
        <v>27</v>
      </c>
      <c r="B115" s="17" t="s">
        <v>49</v>
      </c>
      <c r="C115" s="218" t="s">
        <v>64</v>
      </c>
      <c r="D115" s="31">
        <v>2</v>
      </c>
      <c r="E115" s="59">
        <v>605480</v>
      </c>
      <c r="F115" s="249">
        <f t="shared" si="5"/>
        <v>1210960</v>
      </c>
    </row>
    <row r="116" spans="1:11" ht="43.5" x14ac:dyDescent="0.25">
      <c r="A116" s="218">
        <f t="shared" si="4"/>
        <v>28</v>
      </c>
      <c r="B116" s="17" t="s">
        <v>50</v>
      </c>
      <c r="C116" s="218" t="s">
        <v>64</v>
      </c>
      <c r="D116" s="31">
        <v>3</v>
      </c>
      <c r="E116" s="59">
        <v>822268</v>
      </c>
      <c r="F116" s="249">
        <f t="shared" si="5"/>
        <v>2466804</v>
      </c>
    </row>
    <row r="117" spans="1:11" x14ac:dyDescent="0.25">
      <c r="A117" s="218">
        <f t="shared" si="4"/>
        <v>29</v>
      </c>
      <c r="B117" s="18" t="s">
        <v>51</v>
      </c>
      <c r="C117" s="20"/>
      <c r="D117" s="20"/>
      <c r="E117" s="59">
        <v>0</v>
      </c>
      <c r="F117" s="249">
        <f t="shared" si="5"/>
        <v>0</v>
      </c>
    </row>
    <row r="118" spans="1:11" ht="29.25" x14ac:dyDescent="0.25">
      <c r="A118" s="218">
        <f t="shared" si="4"/>
        <v>30</v>
      </c>
      <c r="B118" s="17" t="s">
        <v>52</v>
      </c>
      <c r="C118" s="218" t="s">
        <v>53</v>
      </c>
      <c r="D118" s="31">
        <v>36</v>
      </c>
      <c r="E118" s="59">
        <v>5922</v>
      </c>
      <c r="F118" s="249">
        <f t="shared" si="5"/>
        <v>213192</v>
      </c>
      <c r="K118" s="80"/>
    </row>
    <row r="119" spans="1:11" x14ac:dyDescent="0.25">
      <c r="A119" s="216"/>
      <c r="B119" s="18" t="s">
        <v>56</v>
      </c>
      <c r="C119" s="54"/>
      <c r="D119" s="130"/>
      <c r="E119" s="28"/>
      <c r="F119" s="28">
        <f>ROUND((F118+F117+F116+F115+F114+F113+F112+F111+F110+F109+F108+F107+F106+F105+F104+F103+F102+F101+F100+F99+F98+F97+F96+F95+F94+F93+F92+F91+F90),0)</f>
        <v>51041936</v>
      </c>
    </row>
    <row r="120" spans="1:11" x14ac:dyDescent="0.25">
      <c r="A120" s="19"/>
      <c r="B120" s="19" t="s">
        <v>60</v>
      </c>
      <c r="C120" s="19"/>
      <c r="D120" s="19"/>
      <c r="E120" s="19"/>
      <c r="F120" s="29">
        <f>ROUND(F119/1.3495,0)</f>
        <v>37822850</v>
      </c>
    </row>
    <row r="121" spans="1:11" x14ac:dyDescent="0.25">
      <c r="A121" s="19"/>
      <c r="B121" s="19" t="s">
        <v>61</v>
      </c>
      <c r="C121" s="131">
        <v>0.24</v>
      </c>
      <c r="D121" s="19"/>
      <c r="E121" s="19"/>
      <c r="F121" s="29">
        <f>ROUND(F120*C121,0)</f>
        <v>9077484</v>
      </c>
    </row>
    <row r="122" spans="1:11" x14ac:dyDescent="0.25">
      <c r="A122" s="19"/>
      <c r="B122" s="19" t="s">
        <v>57</v>
      </c>
      <c r="C122" s="131">
        <v>0.05</v>
      </c>
      <c r="D122" s="19"/>
      <c r="E122" s="19"/>
      <c r="F122" s="29">
        <f>ROUND(F120*C122,0)</f>
        <v>1891143</v>
      </c>
    </row>
    <row r="123" spans="1:11" x14ac:dyDescent="0.25">
      <c r="A123" s="19"/>
      <c r="B123" s="19" t="s">
        <v>62</v>
      </c>
      <c r="C123" s="131">
        <v>0.05</v>
      </c>
      <c r="D123" s="19"/>
      <c r="E123" s="19"/>
      <c r="F123" s="29">
        <f>ROUND(F120*C123,0)</f>
        <v>1891143</v>
      </c>
    </row>
    <row r="124" spans="1:11" ht="29.25" x14ac:dyDescent="0.25">
      <c r="A124" s="19"/>
      <c r="B124" s="13" t="s">
        <v>63</v>
      </c>
      <c r="C124" s="133">
        <v>0.19</v>
      </c>
      <c r="D124" s="120"/>
      <c r="E124" s="120"/>
      <c r="F124" s="35">
        <f>ROUND(F123*19%,0)</f>
        <v>359317</v>
      </c>
    </row>
    <row r="125" spans="1:11" x14ac:dyDescent="0.25">
      <c r="A125" s="19"/>
      <c r="B125" s="18" t="s">
        <v>56</v>
      </c>
      <c r="C125" s="19"/>
      <c r="D125" s="19"/>
      <c r="E125" s="19"/>
      <c r="F125" s="30">
        <f>SUM(F120:F124)</f>
        <v>51041937</v>
      </c>
    </row>
    <row r="127" spans="1:11" x14ac:dyDescent="0.25">
      <c r="A127" s="422" t="s">
        <v>103</v>
      </c>
      <c r="B127" s="422"/>
      <c r="C127" s="422"/>
      <c r="D127" s="422"/>
      <c r="E127" s="422"/>
      <c r="F127" s="422"/>
    </row>
    <row r="128" spans="1:11" x14ac:dyDescent="0.25">
      <c r="A128" s="420" t="s">
        <v>10</v>
      </c>
      <c r="B128" s="420" t="s">
        <v>0</v>
      </c>
      <c r="C128" s="420" t="s">
        <v>11</v>
      </c>
      <c r="D128" s="420" t="s">
        <v>12</v>
      </c>
      <c r="E128" s="420"/>
      <c r="F128" s="420"/>
    </row>
    <row r="129" spans="1:11" x14ac:dyDescent="0.25">
      <c r="A129" s="420"/>
      <c r="B129" s="420"/>
      <c r="C129" s="420"/>
      <c r="D129" s="54" t="s">
        <v>13</v>
      </c>
      <c r="E129" s="54" t="s">
        <v>14</v>
      </c>
      <c r="F129" s="54" t="s">
        <v>15</v>
      </c>
    </row>
    <row r="130" spans="1:11" x14ac:dyDescent="0.25">
      <c r="A130" s="218">
        <f t="shared" ref="A130:A159" si="6">A129+1</f>
        <v>1</v>
      </c>
      <c r="B130" s="18" t="s">
        <v>16</v>
      </c>
      <c r="C130" s="420"/>
      <c r="D130" s="420"/>
      <c r="E130" s="420"/>
      <c r="F130" s="20"/>
    </row>
    <row r="131" spans="1:11" ht="29.25" x14ac:dyDescent="0.25">
      <c r="A131" s="218">
        <f t="shared" si="6"/>
        <v>2</v>
      </c>
      <c r="B131" s="17" t="s">
        <v>73</v>
      </c>
      <c r="C131" s="218" t="s">
        <v>18</v>
      </c>
      <c r="D131" s="31">
        <v>48</v>
      </c>
      <c r="E131" s="59">
        <v>5214</v>
      </c>
      <c r="F131" s="249">
        <f t="shared" ref="F131:F159" si="7">ROUND(D131*E131,0)</f>
        <v>250272</v>
      </c>
    </row>
    <row r="132" spans="1:11" ht="29.25" x14ac:dyDescent="0.25">
      <c r="A132" s="218">
        <f t="shared" si="6"/>
        <v>3</v>
      </c>
      <c r="B132" s="17" t="s">
        <v>19</v>
      </c>
      <c r="C132" s="218" t="s">
        <v>20</v>
      </c>
      <c r="D132" s="31">
        <v>288</v>
      </c>
      <c r="E132" s="59">
        <v>9047</v>
      </c>
      <c r="F132" s="249">
        <f t="shared" si="7"/>
        <v>2605536</v>
      </c>
    </row>
    <row r="133" spans="1:11" ht="43.5" x14ac:dyDescent="0.25">
      <c r="A133" s="218">
        <f t="shared" si="6"/>
        <v>4</v>
      </c>
      <c r="B133" s="17" t="s">
        <v>21</v>
      </c>
      <c r="C133" s="218" t="s">
        <v>18</v>
      </c>
      <c r="D133" s="31">
        <v>108</v>
      </c>
      <c r="E133" s="59">
        <v>13608</v>
      </c>
      <c r="F133" s="249">
        <f t="shared" si="7"/>
        <v>1469664</v>
      </c>
    </row>
    <row r="134" spans="1:11" ht="29.25" x14ac:dyDescent="0.25">
      <c r="A134" s="218">
        <f t="shared" si="6"/>
        <v>5</v>
      </c>
      <c r="B134" s="17" t="s">
        <v>22</v>
      </c>
      <c r="C134" s="218" t="s">
        <v>23</v>
      </c>
      <c r="D134" s="31">
        <v>2</v>
      </c>
      <c r="E134" s="59">
        <v>155349</v>
      </c>
      <c r="F134" s="249">
        <f t="shared" si="7"/>
        <v>310698</v>
      </c>
      <c r="K134" s="80"/>
    </row>
    <row r="135" spans="1:11" x14ac:dyDescent="0.25">
      <c r="A135" s="218">
        <f t="shared" si="6"/>
        <v>6</v>
      </c>
      <c r="B135" s="18" t="s">
        <v>25</v>
      </c>
      <c r="C135" s="20"/>
      <c r="D135" s="20"/>
      <c r="E135" s="59">
        <v>0</v>
      </c>
      <c r="F135" s="249">
        <f t="shared" si="7"/>
        <v>0</v>
      </c>
    </row>
    <row r="136" spans="1:11" ht="29.25" x14ac:dyDescent="0.25">
      <c r="A136" s="218">
        <f t="shared" si="6"/>
        <v>7</v>
      </c>
      <c r="B136" s="56" t="s">
        <v>26</v>
      </c>
      <c r="C136" s="218" t="s">
        <v>18</v>
      </c>
      <c r="D136" s="31">
        <v>160</v>
      </c>
      <c r="E136" s="59">
        <v>7630</v>
      </c>
      <c r="F136" s="249">
        <f t="shared" si="7"/>
        <v>1220800</v>
      </c>
    </row>
    <row r="137" spans="1:11" ht="72" x14ac:dyDescent="0.25">
      <c r="A137" s="218">
        <f t="shared" si="6"/>
        <v>8</v>
      </c>
      <c r="B137" s="17" t="s">
        <v>27</v>
      </c>
      <c r="C137" s="218" t="s">
        <v>64</v>
      </c>
      <c r="D137" s="31">
        <v>12</v>
      </c>
      <c r="E137" s="59">
        <v>83312</v>
      </c>
      <c r="F137" s="249">
        <f t="shared" si="7"/>
        <v>999744</v>
      </c>
    </row>
    <row r="138" spans="1:11" x14ac:dyDescent="0.25">
      <c r="A138" s="218">
        <f t="shared" si="6"/>
        <v>9</v>
      </c>
      <c r="B138" s="18" t="s">
        <v>28</v>
      </c>
      <c r="C138" s="20"/>
      <c r="D138" s="20"/>
      <c r="E138" s="59">
        <v>0</v>
      </c>
      <c r="F138" s="249">
        <f t="shared" si="7"/>
        <v>0</v>
      </c>
    </row>
    <row r="139" spans="1:11" ht="29.25" x14ac:dyDescent="0.25">
      <c r="A139" s="218">
        <f t="shared" si="6"/>
        <v>10</v>
      </c>
      <c r="B139" s="17" t="s">
        <v>29</v>
      </c>
      <c r="C139" s="218" t="s">
        <v>64</v>
      </c>
      <c r="D139" s="31">
        <v>112</v>
      </c>
      <c r="E139" s="59">
        <v>26317</v>
      </c>
      <c r="F139" s="249">
        <f t="shared" si="7"/>
        <v>2947504</v>
      </c>
    </row>
    <row r="140" spans="1:11" ht="29.25" x14ac:dyDescent="0.25">
      <c r="A140" s="218">
        <f t="shared" si="6"/>
        <v>11</v>
      </c>
      <c r="B140" s="17" t="s">
        <v>31</v>
      </c>
      <c r="C140" s="218" t="s">
        <v>18</v>
      </c>
      <c r="D140" s="31">
        <v>10</v>
      </c>
      <c r="E140" s="59">
        <v>31128</v>
      </c>
      <c r="F140" s="249">
        <f t="shared" si="7"/>
        <v>311280</v>
      </c>
    </row>
    <row r="141" spans="1:11" ht="43.5" x14ac:dyDescent="0.25">
      <c r="A141" s="218">
        <f t="shared" si="6"/>
        <v>12</v>
      </c>
      <c r="B141" s="17" t="s">
        <v>32</v>
      </c>
      <c r="C141" s="218" t="s">
        <v>64</v>
      </c>
      <c r="D141" s="31">
        <v>40</v>
      </c>
      <c r="E141" s="59">
        <v>32749</v>
      </c>
      <c r="F141" s="249">
        <f t="shared" si="7"/>
        <v>1309960</v>
      </c>
    </row>
    <row r="142" spans="1:11" ht="30" x14ac:dyDescent="0.25">
      <c r="A142" s="218">
        <f t="shared" si="6"/>
        <v>13</v>
      </c>
      <c r="B142" s="188" t="s">
        <v>33</v>
      </c>
      <c r="C142" s="20"/>
      <c r="D142" s="20"/>
      <c r="E142" s="59">
        <v>0</v>
      </c>
      <c r="F142" s="249">
        <f t="shared" si="7"/>
        <v>0</v>
      </c>
    </row>
    <row r="143" spans="1:11" ht="29.25" x14ac:dyDescent="0.25">
      <c r="A143" s="218">
        <f t="shared" si="6"/>
        <v>14</v>
      </c>
      <c r="B143" s="17" t="s">
        <v>66</v>
      </c>
      <c r="C143" s="218" t="s">
        <v>18</v>
      </c>
      <c r="D143" s="31">
        <v>48</v>
      </c>
      <c r="E143" s="59">
        <v>23781</v>
      </c>
      <c r="F143" s="249">
        <f t="shared" si="7"/>
        <v>1141488</v>
      </c>
    </row>
    <row r="144" spans="1:11" ht="85.5" x14ac:dyDescent="0.25">
      <c r="A144" s="218">
        <f t="shared" si="6"/>
        <v>15</v>
      </c>
      <c r="B144" s="57" t="s">
        <v>35</v>
      </c>
      <c r="C144" s="218" t="s">
        <v>18</v>
      </c>
      <c r="D144" s="31">
        <v>1</v>
      </c>
      <c r="E144" s="59">
        <v>637411</v>
      </c>
      <c r="F144" s="249">
        <f t="shared" si="7"/>
        <v>637411</v>
      </c>
    </row>
    <row r="145" spans="1:11" ht="85.5" x14ac:dyDescent="0.25">
      <c r="A145" s="218">
        <f t="shared" si="6"/>
        <v>16</v>
      </c>
      <c r="B145" s="9" t="s">
        <v>100</v>
      </c>
      <c r="C145" s="218" t="s">
        <v>37</v>
      </c>
      <c r="D145" s="31">
        <v>2</v>
      </c>
      <c r="E145" s="59">
        <v>777600</v>
      </c>
      <c r="F145" s="249">
        <f t="shared" si="7"/>
        <v>1555200</v>
      </c>
    </row>
    <row r="146" spans="1:11" x14ac:dyDescent="0.25">
      <c r="A146" s="218">
        <f t="shared" si="6"/>
        <v>17</v>
      </c>
      <c r="B146" s="55" t="s">
        <v>38</v>
      </c>
      <c r="C146" s="218" t="s">
        <v>37</v>
      </c>
      <c r="D146" s="31">
        <v>2</v>
      </c>
      <c r="E146" s="59">
        <v>540447</v>
      </c>
      <c r="F146" s="249">
        <f t="shared" si="7"/>
        <v>1080894</v>
      </c>
    </row>
    <row r="147" spans="1:11" ht="43.5" x14ac:dyDescent="0.25">
      <c r="A147" s="218">
        <f t="shared" si="6"/>
        <v>18</v>
      </c>
      <c r="B147" s="17" t="s">
        <v>39</v>
      </c>
      <c r="C147" s="218" t="s">
        <v>18</v>
      </c>
      <c r="D147" s="31">
        <v>36</v>
      </c>
      <c r="E147" s="59">
        <v>13802</v>
      </c>
      <c r="F147" s="249">
        <f t="shared" si="7"/>
        <v>496872</v>
      </c>
    </row>
    <row r="148" spans="1:11" ht="57.75" x14ac:dyDescent="0.25">
      <c r="A148" s="218">
        <f t="shared" si="6"/>
        <v>19</v>
      </c>
      <c r="B148" s="17" t="s">
        <v>40</v>
      </c>
      <c r="C148" s="218" t="s">
        <v>23</v>
      </c>
      <c r="D148" s="31">
        <v>8</v>
      </c>
      <c r="E148" s="59">
        <v>399818</v>
      </c>
      <c r="F148" s="249">
        <f t="shared" si="7"/>
        <v>3198544</v>
      </c>
    </row>
    <row r="149" spans="1:11" ht="29.25" x14ac:dyDescent="0.25">
      <c r="A149" s="218">
        <f t="shared" si="6"/>
        <v>20</v>
      </c>
      <c r="B149" s="17" t="s">
        <v>67</v>
      </c>
      <c r="C149" s="218" t="s">
        <v>23</v>
      </c>
      <c r="D149" s="31">
        <v>8</v>
      </c>
      <c r="E149" s="59">
        <v>43482</v>
      </c>
      <c r="F149" s="249">
        <f t="shared" si="7"/>
        <v>347856</v>
      </c>
    </row>
    <row r="150" spans="1:11" x14ac:dyDescent="0.25">
      <c r="A150" s="218">
        <f t="shared" si="6"/>
        <v>21</v>
      </c>
      <c r="B150" s="55" t="s">
        <v>42</v>
      </c>
      <c r="C150" s="218" t="s">
        <v>23</v>
      </c>
      <c r="D150" s="31">
        <v>4</v>
      </c>
      <c r="E150" s="59">
        <v>90312</v>
      </c>
      <c r="F150" s="249">
        <f t="shared" si="7"/>
        <v>361248</v>
      </c>
    </row>
    <row r="151" spans="1:11" x14ac:dyDescent="0.25">
      <c r="A151" s="218">
        <f t="shared" si="6"/>
        <v>22</v>
      </c>
      <c r="B151" s="18" t="s">
        <v>43</v>
      </c>
      <c r="C151" s="20"/>
      <c r="D151" s="20"/>
      <c r="E151" s="59">
        <v>0</v>
      </c>
      <c r="F151" s="249">
        <f t="shared" si="7"/>
        <v>0</v>
      </c>
    </row>
    <row r="152" spans="1:11" ht="29.25" x14ac:dyDescent="0.25">
      <c r="A152" s="218">
        <f t="shared" si="6"/>
        <v>23</v>
      </c>
      <c r="B152" s="17" t="s">
        <v>44</v>
      </c>
      <c r="C152" s="218" t="s">
        <v>64</v>
      </c>
      <c r="D152" s="31">
        <v>8</v>
      </c>
      <c r="E152" s="59">
        <v>120657</v>
      </c>
      <c r="F152" s="249">
        <f t="shared" si="7"/>
        <v>965256</v>
      </c>
    </row>
    <row r="153" spans="1:11" ht="29.25" x14ac:dyDescent="0.25">
      <c r="A153" s="218">
        <f t="shared" si="6"/>
        <v>24</v>
      </c>
      <c r="B153" s="17" t="s">
        <v>45</v>
      </c>
      <c r="C153" s="218" t="s">
        <v>64</v>
      </c>
      <c r="D153" s="31">
        <v>86</v>
      </c>
      <c r="E153" s="59">
        <v>22131</v>
      </c>
      <c r="F153" s="249">
        <f t="shared" si="7"/>
        <v>1903266</v>
      </c>
    </row>
    <row r="154" spans="1:11" ht="29.25" x14ac:dyDescent="0.25">
      <c r="A154" s="218">
        <f t="shared" si="6"/>
        <v>25</v>
      </c>
      <c r="B154" s="17" t="s">
        <v>46</v>
      </c>
      <c r="C154" s="218" t="s">
        <v>64</v>
      </c>
      <c r="D154" s="31">
        <v>16</v>
      </c>
      <c r="E154" s="59">
        <v>144847</v>
      </c>
      <c r="F154" s="249">
        <f t="shared" si="7"/>
        <v>2317552</v>
      </c>
    </row>
    <row r="155" spans="1:11" x14ac:dyDescent="0.25">
      <c r="A155" s="218">
        <f t="shared" si="6"/>
        <v>26</v>
      </c>
      <c r="B155" s="18" t="s">
        <v>48</v>
      </c>
      <c r="C155" s="20"/>
      <c r="D155" s="20"/>
      <c r="E155" s="59">
        <v>0</v>
      </c>
      <c r="F155" s="249">
        <f t="shared" si="7"/>
        <v>0</v>
      </c>
    </row>
    <row r="156" spans="1:11" ht="43.5" x14ac:dyDescent="0.25">
      <c r="A156" s="218">
        <f t="shared" si="6"/>
        <v>27</v>
      </c>
      <c r="B156" s="17" t="s">
        <v>49</v>
      </c>
      <c r="C156" s="218" t="s">
        <v>64</v>
      </c>
      <c r="D156" s="31">
        <v>1</v>
      </c>
      <c r="E156" s="59">
        <v>605480</v>
      </c>
      <c r="F156" s="249">
        <f t="shared" si="7"/>
        <v>605480</v>
      </c>
    </row>
    <row r="157" spans="1:11" ht="43.5" x14ac:dyDescent="0.25">
      <c r="A157" s="218">
        <f t="shared" si="6"/>
        <v>28</v>
      </c>
      <c r="B157" s="17" t="s">
        <v>50</v>
      </c>
      <c r="C157" s="218" t="s">
        <v>64</v>
      </c>
      <c r="D157" s="31">
        <v>12</v>
      </c>
      <c r="E157" s="59">
        <v>822268</v>
      </c>
      <c r="F157" s="249">
        <f t="shared" si="7"/>
        <v>9867216</v>
      </c>
    </row>
    <row r="158" spans="1:11" x14ac:dyDescent="0.25">
      <c r="A158" s="218">
        <f t="shared" si="6"/>
        <v>29</v>
      </c>
      <c r="B158" s="18" t="s">
        <v>51</v>
      </c>
      <c r="C158" s="20"/>
      <c r="D158" s="20"/>
      <c r="E158" s="59">
        <v>0</v>
      </c>
      <c r="F158" s="249">
        <f t="shared" si="7"/>
        <v>0</v>
      </c>
    </row>
    <row r="159" spans="1:11" ht="29.25" x14ac:dyDescent="0.25">
      <c r="A159" s="218">
        <f t="shared" si="6"/>
        <v>30</v>
      </c>
      <c r="B159" s="17" t="s">
        <v>52</v>
      </c>
      <c r="C159" s="218" t="s">
        <v>53</v>
      </c>
      <c r="D159" s="31">
        <v>36</v>
      </c>
      <c r="E159" s="59">
        <v>5922</v>
      </c>
      <c r="F159" s="249">
        <f t="shared" si="7"/>
        <v>213192</v>
      </c>
      <c r="K159" s="80"/>
    </row>
    <row r="160" spans="1:11" x14ac:dyDescent="0.25">
      <c r="A160" s="216"/>
      <c r="B160" s="18" t="s">
        <v>56</v>
      </c>
      <c r="C160" s="54"/>
      <c r="D160" s="130"/>
      <c r="E160" s="28"/>
      <c r="F160" s="28">
        <f>ROUND((F159+F158+F157+F156+F155+F154+F153+F152+F151+F150+F149+F148+F147+F146+F145+F144+F143+F142+F141+F140+F139+F138+F137+F136+F135+F134+F133+F132+F131),0)</f>
        <v>36116933</v>
      </c>
    </row>
    <row r="161" spans="1:11" x14ac:dyDescent="0.25">
      <c r="A161" s="19"/>
      <c r="B161" s="19" t="s">
        <v>60</v>
      </c>
      <c r="C161" s="19"/>
      <c r="D161" s="19"/>
      <c r="E161" s="19"/>
      <c r="F161" s="29">
        <f>ROUND(F160/1.3495,0)</f>
        <v>26763196</v>
      </c>
    </row>
    <row r="162" spans="1:11" x14ac:dyDescent="0.25">
      <c r="A162" s="19"/>
      <c r="B162" s="19" t="s">
        <v>61</v>
      </c>
      <c r="C162" s="131">
        <v>0.24</v>
      </c>
      <c r="D162" s="19"/>
      <c r="E162" s="19"/>
      <c r="F162" s="29">
        <f>ROUND(F161*C162,0)</f>
        <v>6423167</v>
      </c>
    </row>
    <row r="163" spans="1:11" x14ac:dyDescent="0.25">
      <c r="A163" s="19"/>
      <c r="B163" s="19" t="s">
        <v>57</v>
      </c>
      <c r="C163" s="131">
        <v>0.05</v>
      </c>
      <c r="D163" s="19"/>
      <c r="E163" s="19"/>
      <c r="F163" s="29">
        <f>ROUND(F161*C163,0)</f>
        <v>1338160</v>
      </c>
    </row>
    <row r="164" spans="1:11" x14ac:dyDescent="0.25">
      <c r="A164" s="19"/>
      <c r="B164" s="19" t="s">
        <v>62</v>
      </c>
      <c r="C164" s="131">
        <v>0.05</v>
      </c>
      <c r="D164" s="19"/>
      <c r="E164" s="19"/>
      <c r="F164" s="29">
        <f>ROUND(F161*C164,0)</f>
        <v>1338160</v>
      </c>
    </row>
    <row r="165" spans="1:11" ht="29.25" x14ac:dyDescent="0.25">
      <c r="A165" s="19"/>
      <c r="B165" s="13" t="s">
        <v>63</v>
      </c>
      <c r="C165" s="133">
        <v>0.19</v>
      </c>
      <c r="D165" s="120"/>
      <c r="E165" s="120"/>
      <c r="F165" s="35">
        <f>ROUND(F164*19%,0)</f>
        <v>254250</v>
      </c>
    </row>
    <row r="166" spans="1:11" x14ac:dyDescent="0.25">
      <c r="A166" s="19"/>
      <c r="B166" s="18" t="s">
        <v>56</v>
      </c>
      <c r="C166" s="19"/>
      <c r="D166" s="19"/>
      <c r="E166" s="19"/>
      <c r="F166" s="30">
        <f>SUM(F161:F165)</f>
        <v>36116933</v>
      </c>
    </row>
    <row r="168" spans="1:11" x14ac:dyDescent="0.25">
      <c r="A168" s="422" t="s">
        <v>104</v>
      </c>
      <c r="B168" s="422"/>
      <c r="C168" s="422"/>
      <c r="D168" s="422"/>
      <c r="E168" s="422"/>
      <c r="F168" s="422"/>
    </row>
    <row r="169" spans="1:11" x14ac:dyDescent="0.25">
      <c r="A169" s="420" t="s">
        <v>10</v>
      </c>
      <c r="B169" s="420" t="s">
        <v>0</v>
      </c>
      <c r="C169" s="420" t="s">
        <v>11</v>
      </c>
      <c r="D169" s="420" t="s">
        <v>12</v>
      </c>
      <c r="E169" s="420"/>
      <c r="F169" s="420"/>
    </row>
    <row r="170" spans="1:11" x14ac:dyDescent="0.25">
      <c r="A170" s="420"/>
      <c r="B170" s="420"/>
      <c r="C170" s="420"/>
      <c r="D170" s="54" t="s">
        <v>13</v>
      </c>
      <c r="E170" s="54" t="s">
        <v>14</v>
      </c>
      <c r="F170" s="54" t="s">
        <v>15</v>
      </c>
    </row>
    <row r="171" spans="1:11" x14ac:dyDescent="0.25">
      <c r="A171" s="218">
        <f t="shared" ref="A171:A201" si="8">A170+1</f>
        <v>1</v>
      </c>
      <c r="B171" s="18" t="s">
        <v>16</v>
      </c>
      <c r="C171" s="420"/>
      <c r="D171" s="420"/>
      <c r="E171" s="420"/>
      <c r="F171" s="20"/>
    </row>
    <row r="172" spans="1:11" ht="29.25" x14ac:dyDescent="0.25">
      <c r="A172" s="218">
        <f t="shared" si="8"/>
        <v>2</v>
      </c>
      <c r="B172" s="17" t="s">
        <v>70</v>
      </c>
      <c r="C172" s="218" t="s">
        <v>18</v>
      </c>
      <c r="D172" s="31">
        <v>54</v>
      </c>
      <c r="E172" s="59">
        <v>5214</v>
      </c>
      <c r="F172" s="249">
        <f t="shared" ref="F172:F201" si="9">ROUND(D172*E172,0)</f>
        <v>281556</v>
      </c>
    </row>
    <row r="173" spans="1:11" ht="29.25" x14ac:dyDescent="0.25">
      <c r="A173" s="218">
        <f t="shared" si="8"/>
        <v>3</v>
      </c>
      <c r="B173" s="17" t="s">
        <v>19</v>
      </c>
      <c r="C173" s="218" t="s">
        <v>20</v>
      </c>
      <c r="D173" s="31">
        <v>324</v>
      </c>
      <c r="E173" s="59">
        <v>9047</v>
      </c>
      <c r="F173" s="249">
        <f t="shared" si="9"/>
        <v>2931228</v>
      </c>
    </row>
    <row r="174" spans="1:11" ht="43.5" x14ac:dyDescent="0.25">
      <c r="A174" s="218">
        <f t="shared" si="8"/>
        <v>4</v>
      </c>
      <c r="B174" s="17" t="s">
        <v>21</v>
      </c>
      <c r="C174" s="218" t="s">
        <v>18</v>
      </c>
      <c r="D174" s="31">
        <v>120</v>
      </c>
      <c r="E174" s="59">
        <v>13608</v>
      </c>
      <c r="F174" s="249">
        <f t="shared" si="9"/>
        <v>1632960</v>
      </c>
    </row>
    <row r="175" spans="1:11" ht="29.25" x14ac:dyDescent="0.25">
      <c r="A175" s="218">
        <f t="shared" si="8"/>
        <v>5</v>
      </c>
      <c r="B175" s="17" t="s">
        <v>22</v>
      </c>
      <c r="C175" s="218" t="s">
        <v>23</v>
      </c>
      <c r="D175" s="31">
        <v>2</v>
      </c>
      <c r="E175" s="59">
        <v>155349</v>
      </c>
      <c r="F175" s="249">
        <f t="shared" si="9"/>
        <v>310698</v>
      </c>
      <c r="K175" s="80"/>
    </row>
    <row r="176" spans="1:11" x14ac:dyDescent="0.25">
      <c r="A176" s="218">
        <f t="shared" si="8"/>
        <v>6</v>
      </c>
      <c r="B176" s="18" t="s">
        <v>25</v>
      </c>
      <c r="C176" s="20"/>
      <c r="D176" s="20"/>
      <c r="E176" s="59">
        <v>0</v>
      </c>
      <c r="F176" s="249">
        <f t="shared" si="9"/>
        <v>0</v>
      </c>
    </row>
    <row r="177" spans="1:6" ht="29.25" x14ac:dyDescent="0.25">
      <c r="A177" s="218">
        <f t="shared" si="8"/>
        <v>7</v>
      </c>
      <c r="B177" s="56" t="s">
        <v>26</v>
      </c>
      <c r="C177" s="218" t="s">
        <v>18</v>
      </c>
      <c r="D177" s="31">
        <v>268</v>
      </c>
      <c r="E177" s="59">
        <v>7630</v>
      </c>
      <c r="F177" s="249">
        <f t="shared" si="9"/>
        <v>2044840</v>
      </c>
    </row>
    <row r="178" spans="1:6" ht="72" x14ac:dyDescent="0.25">
      <c r="A178" s="218">
        <f t="shared" si="8"/>
        <v>8</v>
      </c>
      <c r="B178" s="17" t="s">
        <v>27</v>
      </c>
      <c r="C178" s="218" t="s">
        <v>64</v>
      </c>
      <c r="D178" s="31">
        <v>18</v>
      </c>
      <c r="E178" s="59">
        <v>83312</v>
      </c>
      <c r="F178" s="249">
        <f t="shared" si="9"/>
        <v>1499616</v>
      </c>
    </row>
    <row r="179" spans="1:6" x14ac:dyDescent="0.25">
      <c r="A179" s="218">
        <f t="shared" si="8"/>
        <v>9</v>
      </c>
      <c r="B179" s="18" t="s">
        <v>28</v>
      </c>
      <c r="C179" s="20"/>
      <c r="D179" s="20"/>
      <c r="E179" s="59">
        <v>0</v>
      </c>
      <c r="F179" s="249">
        <f t="shared" si="9"/>
        <v>0</v>
      </c>
    </row>
    <row r="180" spans="1:6" ht="29.25" x14ac:dyDescent="0.25">
      <c r="A180" s="218">
        <f t="shared" si="8"/>
        <v>10</v>
      </c>
      <c r="B180" s="17" t="s">
        <v>29</v>
      </c>
      <c r="C180" s="218" t="s">
        <v>64</v>
      </c>
      <c r="D180" s="31">
        <v>168</v>
      </c>
      <c r="E180" s="59">
        <v>26317</v>
      </c>
      <c r="F180" s="249">
        <f t="shared" si="9"/>
        <v>4421256</v>
      </c>
    </row>
    <row r="181" spans="1:6" ht="29.25" x14ac:dyDescent="0.25">
      <c r="A181" s="218">
        <f t="shared" si="8"/>
        <v>11</v>
      </c>
      <c r="B181" s="17" t="s">
        <v>30</v>
      </c>
      <c r="C181" s="218" t="s">
        <v>64</v>
      </c>
      <c r="D181" s="31">
        <v>20</v>
      </c>
      <c r="E181" s="59">
        <v>30682</v>
      </c>
      <c r="F181" s="249">
        <f t="shared" si="9"/>
        <v>613640</v>
      </c>
    </row>
    <row r="182" spans="1:6" ht="29.25" x14ac:dyDescent="0.25">
      <c r="A182" s="218">
        <f t="shared" si="8"/>
        <v>12</v>
      </c>
      <c r="B182" s="17" t="s">
        <v>31</v>
      </c>
      <c r="C182" s="218" t="s">
        <v>18</v>
      </c>
      <c r="D182" s="31">
        <v>108</v>
      </c>
      <c r="E182" s="59">
        <v>31128</v>
      </c>
      <c r="F182" s="249">
        <f t="shared" si="9"/>
        <v>3361824</v>
      </c>
    </row>
    <row r="183" spans="1:6" ht="43.5" x14ac:dyDescent="0.25">
      <c r="A183" s="218">
        <f t="shared" si="8"/>
        <v>13</v>
      </c>
      <c r="B183" s="17" t="s">
        <v>32</v>
      </c>
      <c r="C183" s="218" t="s">
        <v>64</v>
      </c>
      <c r="D183" s="31">
        <v>63</v>
      </c>
      <c r="E183" s="59">
        <v>32749</v>
      </c>
      <c r="F183" s="249">
        <f t="shared" si="9"/>
        <v>2063187</v>
      </c>
    </row>
    <row r="184" spans="1:6" ht="30" x14ac:dyDescent="0.25">
      <c r="A184" s="218">
        <f t="shared" si="8"/>
        <v>14</v>
      </c>
      <c r="B184" s="188" t="s">
        <v>33</v>
      </c>
      <c r="C184" s="20"/>
      <c r="D184" s="20"/>
      <c r="E184" s="59">
        <v>0</v>
      </c>
      <c r="F184" s="249">
        <f t="shared" si="9"/>
        <v>0</v>
      </c>
    </row>
    <row r="185" spans="1:6" ht="29.25" x14ac:dyDescent="0.25">
      <c r="A185" s="218">
        <f t="shared" si="8"/>
        <v>15</v>
      </c>
      <c r="B185" s="17" t="s">
        <v>66</v>
      </c>
      <c r="C185" s="218" t="s">
        <v>18</v>
      </c>
      <c r="D185" s="31">
        <v>54</v>
      </c>
      <c r="E185" s="59">
        <v>23781</v>
      </c>
      <c r="F185" s="249">
        <f t="shared" si="9"/>
        <v>1284174</v>
      </c>
    </row>
    <row r="186" spans="1:6" ht="85.5" x14ac:dyDescent="0.25">
      <c r="A186" s="218">
        <f t="shared" si="8"/>
        <v>16</v>
      </c>
      <c r="B186" s="57" t="s">
        <v>35</v>
      </c>
      <c r="C186" s="218" t="s">
        <v>18</v>
      </c>
      <c r="D186" s="31">
        <v>2</v>
      </c>
      <c r="E186" s="59">
        <v>637411</v>
      </c>
      <c r="F186" s="249">
        <f t="shared" si="9"/>
        <v>1274822</v>
      </c>
    </row>
    <row r="187" spans="1:6" ht="85.5" x14ac:dyDescent="0.25">
      <c r="A187" s="218">
        <f t="shared" si="8"/>
        <v>17</v>
      </c>
      <c r="B187" s="9" t="s">
        <v>100</v>
      </c>
      <c r="C187" s="218" t="s">
        <v>37</v>
      </c>
      <c r="D187" s="31">
        <v>1</v>
      </c>
      <c r="E187" s="59">
        <v>777600</v>
      </c>
      <c r="F187" s="249">
        <f t="shared" si="9"/>
        <v>777600</v>
      </c>
    </row>
    <row r="188" spans="1:6" x14ac:dyDescent="0.25">
      <c r="A188" s="218">
        <f t="shared" si="8"/>
        <v>18</v>
      </c>
      <c r="B188" s="55" t="s">
        <v>38</v>
      </c>
      <c r="C188" s="218" t="s">
        <v>37</v>
      </c>
      <c r="D188" s="31">
        <v>2</v>
      </c>
      <c r="E188" s="59">
        <v>540447</v>
      </c>
      <c r="F188" s="249">
        <f t="shared" si="9"/>
        <v>1080894</v>
      </c>
    </row>
    <row r="189" spans="1:6" ht="43.5" x14ac:dyDescent="0.25">
      <c r="A189" s="218">
        <f t="shared" si="8"/>
        <v>19</v>
      </c>
      <c r="B189" s="17" t="s">
        <v>39</v>
      </c>
      <c r="C189" s="218" t="s">
        <v>18</v>
      </c>
      <c r="D189" s="31">
        <v>84</v>
      </c>
      <c r="E189" s="59">
        <v>13802</v>
      </c>
      <c r="F189" s="249">
        <f t="shared" si="9"/>
        <v>1159368</v>
      </c>
    </row>
    <row r="190" spans="1:6" ht="57.75" x14ac:dyDescent="0.25">
      <c r="A190" s="218">
        <f t="shared" si="8"/>
        <v>20</v>
      </c>
      <c r="B190" s="17" t="s">
        <v>40</v>
      </c>
      <c r="C190" s="218" t="s">
        <v>23</v>
      </c>
      <c r="D190" s="31">
        <v>10</v>
      </c>
      <c r="E190" s="59">
        <v>399818</v>
      </c>
      <c r="F190" s="249">
        <f t="shared" si="9"/>
        <v>3998180</v>
      </c>
    </row>
    <row r="191" spans="1:6" ht="29.25" x14ac:dyDescent="0.25">
      <c r="A191" s="218">
        <f t="shared" si="8"/>
        <v>21</v>
      </c>
      <c r="B191" s="17" t="s">
        <v>67</v>
      </c>
      <c r="C191" s="218" t="s">
        <v>23</v>
      </c>
      <c r="D191" s="31">
        <v>10</v>
      </c>
      <c r="E191" s="59">
        <v>43482</v>
      </c>
      <c r="F191" s="249">
        <f t="shared" si="9"/>
        <v>434820</v>
      </c>
    </row>
    <row r="192" spans="1:6" x14ac:dyDescent="0.25">
      <c r="A192" s="218">
        <f t="shared" si="8"/>
        <v>22</v>
      </c>
      <c r="B192" s="55" t="s">
        <v>42</v>
      </c>
      <c r="C192" s="218" t="s">
        <v>23</v>
      </c>
      <c r="D192" s="31">
        <v>2</v>
      </c>
      <c r="E192" s="59">
        <v>90312</v>
      </c>
      <c r="F192" s="249">
        <f t="shared" si="9"/>
        <v>180624</v>
      </c>
    </row>
    <row r="193" spans="1:11" x14ac:dyDescent="0.25">
      <c r="A193" s="218">
        <f t="shared" si="8"/>
        <v>23</v>
      </c>
      <c r="B193" s="18" t="s">
        <v>43</v>
      </c>
      <c r="C193" s="20"/>
      <c r="D193" s="20"/>
      <c r="E193" s="59">
        <v>0</v>
      </c>
      <c r="F193" s="249">
        <f t="shared" si="9"/>
        <v>0</v>
      </c>
    </row>
    <row r="194" spans="1:11" ht="29.25" x14ac:dyDescent="0.25">
      <c r="A194" s="218">
        <f t="shared" si="8"/>
        <v>24</v>
      </c>
      <c r="B194" s="17" t="s">
        <v>44</v>
      </c>
      <c r="C194" s="218" t="s">
        <v>64</v>
      </c>
      <c r="D194" s="31">
        <v>13</v>
      </c>
      <c r="E194" s="59">
        <v>120657</v>
      </c>
      <c r="F194" s="249">
        <f t="shared" si="9"/>
        <v>1568541</v>
      </c>
    </row>
    <row r="195" spans="1:11" ht="29.25" x14ac:dyDescent="0.25">
      <c r="A195" s="218">
        <f t="shared" si="8"/>
        <v>25</v>
      </c>
      <c r="B195" s="17" t="s">
        <v>45</v>
      </c>
      <c r="C195" s="218" t="s">
        <v>64</v>
      </c>
      <c r="D195" s="31">
        <v>173</v>
      </c>
      <c r="E195" s="59">
        <v>22131</v>
      </c>
      <c r="F195" s="249">
        <f t="shared" si="9"/>
        <v>3828663</v>
      </c>
    </row>
    <row r="196" spans="1:11" ht="29.25" x14ac:dyDescent="0.25">
      <c r="A196" s="218">
        <f t="shared" si="8"/>
        <v>26</v>
      </c>
      <c r="B196" s="17" t="s">
        <v>46</v>
      </c>
      <c r="C196" s="218" t="s">
        <v>64</v>
      </c>
      <c r="D196" s="31">
        <v>26</v>
      </c>
      <c r="E196" s="59">
        <v>144847</v>
      </c>
      <c r="F196" s="249">
        <f t="shared" si="9"/>
        <v>3766022</v>
      </c>
    </row>
    <row r="197" spans="1:11" x14ac:dyDescent="0.25">
      <c r="A197" s="218">
        <f t="shared" si="8"/>
        <v>27</v>
      </c>
      <c r="B197" s="18" t="s">
        <v>48</v>
      </c>
      <c r="C197" s="20"/>
      <c r="D197" s="20"/>
      <c r="E197" s="242">
        <v>0</v>
      </c>
      <c r="F197" s="249">
        <f t="shared" si="9"/>
        <v>0</v>
      </c>
    </row>
    <row r="198" spans="1:11" ht="43.5" x14ac:dyDescent="0.25">
      <c r="A198" s="218">
        <f t="shared" si="8"/>
        <v>28</v>
      </c>
      <c r="B198" s="17" t="s">
        <v>49</v>
      </c>
      <c r="C198" s="218" t="s">
        <v>64</v>
      </c>
      <c r="D198" s="31">
        <v>1</v>
      </c>
      <c r="E198" s="59">
        <v>605480</v>
      </c>
      <c r="F198" s="249">
        <f t="shared" si="9"/>
        <v>605480</v>
      </c>
    </row>
    <row r="199" spans="1:11" ht="43.5" x14ac:dyDescent="0.25">
      <c r="A199" s="218">
        <f t="shared" si="8"/>
        <v>29</v>
      </c>
      <c r="B199" s="17" t="s">
        <v>50</v>
      </c>
      <c r="C199" s="218" t="s">
        <v>64</v>
      </c>
      <c r="D199" s="31">
        <v>19</v>
      </c>
      <c r="E199" s="59">
        <v>822268</v>
      </c>
      <c r="F199" s="249">
        <f t="shared" si="9"/>
        <v>15623092</v>
      </c>
    </row>
    <row r="200" spans="1:11" x14ac:dyDescent="0.25">
      <c r="A200" s="218">
        <f t="shared" si="8"/>
        <v>30</v>
      </c>
      <c r="B200" s="18" t="s">
        <v>51</v>
      </c>
      <c r="C200" s="20"/>
      <c r="D200" s="20"/>
      <c r="E200" s="59">
        <v>0</v>
      </c>
      <c r="F200" s="249">
        <f t="shared" si="9"/>
        <v>0</v>
      </c>
    </row>
    <row r="201" spans="1:11" ht="29.25" x14ac:dyDescent="0.25">
      <c r="A201" s="218">
        <f t="shared" si="8"/>
        <v>31</v>
      </c>
      <c r="B201" s="17" t="s">
        <v>52</v>
      </c>
      <c r="C201" s="218" t="s">
        <v>53</v>
      </c>
      <c r="D201" s="31">
        <v>36</v>
      </c>
      <c r="E201" s="59">
        <v>5922</v>
      </c>
      <c r="F201" s="249">
        <f t="shared" si="9"/>
        <v>213192</v>
      </c>
      <c r="K201" s="80"/>
    </row>
    <row r="202" spans="1:11" x14ac:dyDescent="0.25">
      <c r="A202" s="216"/>
      <c r="B202" s="18" t="s">
        <v>56</v>
      </c>
      <c r="C202" s="54"/>
      <c r="D202" s="130"/>
      <c r="E202" s="28"/>
      <c r="F202" s="28">
        <f>ROUND((F201+F200+F199+F198+F197+F196+F195+F194+F193+F192+F191+F190+F189+F188+F187+F186+F185+F184+F183+F182+F181+F180+F179+F178+F177+F176+F175+F174+F173+F172),0)</f>
        <v>54956277</v>
      </c>
    </row>
    <row r="203" spans="1:11" x14ac:dyDescent="0.25">
      <c r="A203" s="19"/>
      <c r="B203" s="19" t="s">
        <v>60</v>
      </c>
      <c r="C203" s="19"/>
      <c r="D203" s="19"/>
      <c r="E203" s="19"/>
      <c r="F203" s="29">
        <f>ROUND(F202/1.3495,0)</f>
        <v>40723436</v>
      </c>
    </row>
    <row r="204" spans="1:11" x14ac:dyDescent="0.25">
      <c r="A204" s="19"/>
      <c r="B204" s="19" t="s">
        <v>61</v>
      </c>
      <c r="C204" s="131">
        <v>0.24</v>
      </c>
      <c r="D204" s="19"/>
      <c r="E204" s="19"/>
      <c r="F204" s="29">
        <f>ROUND(F203*C204,0)</f>
        <v>9773625</v>
      </c>
    </row>
    <row r="205" spans="1:11" x14ac:dyDescent="0.25">
      <c r="A205" s="19"/>
      <c r="B205" s="19" t="s">
        <v>57</v>
      </c>
      <c r="C205" s="131">
        <v>0.05</v>
      </c>
      <c r="D205" s="19"/>
      <c r="E205" s="19"/>
      <c r="F205" s="29">
        <f>ROUND(F203*C205,0)</f>
        <v>2036172</v>
      </c>
    </row>
    <row r="206" spans="1:11" x14ac:dyDescent="0.25">
      <c r="A206" s="19"/>
      <c r="B206" s="19" t="s">
        <v>62</v>
      </c>
      <c r="C206" s="131">
        <v>0.05</v>
      </c>
      <c r="D206" s="19"/>
      <c r="E206" s="19"/>
      <c r="F206" s="29">
        <f>ROUND(F203*C206,0)</f>
        <v>2036172</v>
      </c>
    </row>
    <row r="207" spans="1:11" ht="29.25" x14ac:dyDescent="0.25">
      <c r="A207" s="19"/>
      <c r="B207" s="13" t="s">
        <v>63</v>
      </c>
      <c r="C207" s="133">
        <v>0.19</v>
      </c>
      <c r="D207" s="120"/>
      <c r="E207" s="120"/>
      <c r="F207" s="35">
        <f>ROUND(F206*19%,0)</f>
        <v>386873</v>
      </c>
    </row>
    <row r="208" spans="1:11" x14ac:dyDescent="0.25">
      <c r="A208" s="19"/>
      <c r="B208" s="18" t="s">
        <v>56</v>
      </c>
      <c r="C208" s="19"/>
      <c r="D208" s="19"/>
      <c r="E208" s="19"/>
      <c r="F208" s="30">
        <f>SUM(F203:F207)</f>
        <v>54956278</v>
      </c>
      <c r="H208" s="184"/>
    </row>
    <row r="210" spans="1:11" x14ac:dyDescent="0.25">
      <c r="A210" s="422" t="s">
        <v>105</v>
      </c>
      <c r="B210" s="422"/>
      <c r="C210" s="422"/>
      <c r="D210" s="422"/>
      <c r="E210" s="422"/>
      <c r="F210" s="422"/>
    </row>
    <row r="211" spans="1:11" x14ac:dyDescent="0.25">
      <c r="A211" s="420" t="s">
        <v>10</v>
      </c>
      <c r="B211" s="420" t="s">
        <v>0</v>
      </c>
      <c r="C211" s="420" t="s">
        <v>11</v>
      </c>
      <c r="D211" s="420" t="s">
        <v>12</v>
      </c>
      <c r="E211" s="420"/>
      <c r="F211" s="420"/>
    </row>
    <row r="212" spans="1:11" x14ac:dyDescent="0.25">
      <c r="A212" s="420"/>
      <c r="B212" s="420"/>
      <c r="C212" s="420"/>
      <c r="D212" s="54" t="s">
        <v>13</v>
      </c>
      <c r="E212" s="54" t="s">
        <v>14</v>
      </c>
      <c r="F212" s="54" t="s">
        <v>15</v>
      </c>
    </row>
    <row r="213" spans="1:11" x14ac:dyDescent="0.25">
      <c r="A213" s="218">
        <f t="shared" ref="A213:A242" si="10">A212+1</f>
        <v>1</v>
      </c>
      <c r="B213" s="18" t="s">
        <v>16</v>
      </c>
      <c r="C213" s="420"/>
      <c r="D213" s="420"/>
      <c r="E213" s="420"/>
      <c r="F213" s="20"/>
    </row>
    <row r="214" spans="1:11" ht="29.25" x14ac:dyDescent="0.25">
      <c r="A214" s="218">
        <f t="shared" si="10"/>
        <v>2</v>
      </c>
      <c r="B214" s="17" t="s">
        <v>70</v>
      </c>
      <c r="C214" s="218" t="s">
        <v>18</v>
      </c>
      <c r="D214" s="31">
        <v>90</v>
      </c>
      <c r="E214" s="59">
        <v>5214</v>
      </c>
      <c r="F214" s="249">
        <f t="shared" ref="F214:F242" si="11">ROUND(D214*E214,0)</f>
        <v>469260</v>
      </c>
    </row>
    <row r="215" spans="1:11" ht="29.25" x14ac:dyDescent="0.25">
      <c r="A215" s="218">
        <f t="shared" si="10"/>
        <v>3</v>
      </c>
      <c r="B215" s="17" t="s">
        <v>19</v>
      </c>
      <c r="C215" s="218" t="s">
        <v>20</v>
      </c>
      <c r="D215" s="31">
        <v>540</v>
      </c>
      <c r="E215" s="59">
        <v>9047</v>
      </c>
      <c r="F215" s="249">
        <f t="shared" si="11"/>
        <v>4885380</v>
      </c>
    </row>
    <row r="216" spans="1:11" ht="43.5" x14ac:dyDescent="0.25">
      <c r="A216" s="218">
        <f t="shared" si="10"/>
        <v>4</v>
      </c>
      <c r="B216" s="17" t="s">
        <v>21</v>
      </c>
      <c r="C216" s="218" t="s">
        <v>18</v>
      </c>
      <c r="D216" s="31">
        <v>192</v>
      </c>
      <c r="E216" s="59">
        <v>13608</v>
      </c>
      <c r="F216" s="249">
        <f t="shared" si="11"/>
        <v>2612736</v>
      </c>
    </row>
    <row r="217" spans="1:11" ht="29.25" x14ac:dyDescent="0.25">
      <c r="A217" s="218">
        <f t="shared" si="10"/>
        <v>5</v>
      </c>
      <c r="B217" s="17" t="s">
        <v>22</v>
      </c>
      <c r="C217" s="218" t="s">
        <v>23</v>
      </c>
      <c r="D217" s="31">
        <v>2</v>
      </c>
      <c r="E217" s="59">
        <v>155349</v>
      </c>
      <c r="F217" s="249">
        <f t="shared" si="11"/>
        <v>310698</v>
      </c>
      <c r="K217" s="80"/>
    </row>
    <row r="218" spans="1:11" x14ac:dyDescent="0.25">
      <c r="A218" s="218">
        <f t="shared" si="10"/>
        <v>6</v>
      </c>
      <c r="B218" s="18" t="s">
        <v>25</v>
      </c>
      <c r="C218" s="20"/>
      <c r="D218" s="20"/>
      <c r="E218" s="59">
        <v>0</v>
      </c>
      <c r="F218" s="249">
        <f t="shared" si="11"/>
        <v>0</v>
      </c>
    </row>
    <row r="219" spans="1:11" ht="29.25" x14ac:dyDescent="0.25">
      <c r="A219" s="218">
        <f t="shared" si="10"/>
        <v>7</v>
      </c>
      <c r="B219" s="56" t="s">
        <v>26</v>
      </c>
      <c r="C219" s="218" t="s">
        <v>18</v>
      </c>
      <c r="D219" s="31">
        <v>324</v>
      </c>
      <c r="E219" s="59">
        <v>7630</v>
      </c>
      <c r="F219" s="249">
        <f t="shared" si="11"/>
        <v>2472120</v>
      </c>
    </row>
    <row r="220" spans="1:11" ht="72" x14ac:dyDescent="0.25">
      <c r="A220" s="218">
        <f t="shared" si="10"/>
        <v>8</v>
      </c>
      <c r="B220" s="17" t="s">
        <v>27</v>
      </c>
      <c r="C220" s="218" t="s">
        <v>64</v>
      </c>
      <c r="D220" s="31">
        <v>24</v>
      </c>
      <c r="E220" s="59">
        <v>83312</v>
      </c>
      <c r="F220" s="249">
        <f t="shared" si="11"/>
        <v>1999488</v>
      </c>
    </row>
    <row r="221" spans="1:11" x14ac:dyDescent="0.25">
      <c r="A221" s="218">
        <f t="shared" si="10"/>
        <v>9</v>
      </c>
      <c r="B221" s="18" t="s">
        <v>28</v>
      </c>
      <c r="C221" s="20"/>
      <c r="D221" s="20"/>
      <c r="E221" s="242">
        <v>0</v>
      </c>
      <c r="F221" s="249">
        <f t="shared" si="11"/>
        <v>0</v>
      </c>
    </row>
    <row r="222" spans="1:11" ht="29.25" x14ac:dyDescent="0.25">
      <c r="A222" s="218">
        <f t="shared" si="10"/>
        <v>10</v>
      </c>
      <c r="B222" s="17" t="s">
        <v>29</v>
      </c>
      <c r="C222" s="218" t="s">
        <v>64</v>
      </c>
      <c r="D222" s="31">
        <v>232</v>
      </c>
      <c r="E222" s="59">
        <v>26317</v>
      </c>
      <c r="F222" s="249">
        <f t="shared" si="11"/>
        <v>6105544</v>
      </c>
    </row>
    <row r="223" spans="1:11" ht="29.25" x14ac:dyDescent="0.25">
      <c r="A223" s="218">
        <f t="shared" si="10"/>
        <v>11</v>
      </c>
      <c r="B223" s="17" t="s">
        <v>31</v>
      </c>
      <c r="C223" s="218" t="s">
        <v>18</v>
      </c>
      <c r="D223" s="31">
        <v>10</v>
      </c>
      <c r="E223" s="59">
        <v>31128</v>
      </c>
      <c r="F223" s="249">
        <f t="shared" si="11"/>
        <v>311280</v>
      </c>
    </row>
    <row r="224" spans="1:11" ht="43.5" x14ac:dyDescent="0.25">
      <c r="A224" s="218">
        <f t="shared" si="10"/>
        <v>12</v>
      </c>
      <c r="B224" s="17" t="s">
        <v>32</v>
      </c>
      <c r="C224" s="218" t="s">
        <v>64</v>
      </c>
      <c r="D224" s="31">
        <v>80</v>
      </c>
      <c r="E224" s="59">
        <v>32749</v>
      </c>
      <c r="F224" s="249">
        <f t="shared" si="11"/>
        <v>2619920</v>
      </c>
    </row>
    <row r="225" spans="1:6" ht="30" x14ac:dyDescent="0.25">
      <c r="A225" s="218">
        <f t="shared" si="10"/>
        <v>13</v>
      </c>
      <c r="B225" s="188" t="s">
        <v>33</v>
      </c>
      <c r="C225" s="20"/>
      <c r="D225" s="20"/>
      <c r="E225" s="242">
        <v>0</v>
      </c>
      <c r="F225" s="249">
        <f t="shared" si="11"/>
        <v>0</v>
      </c>
    </row>
    <row r="226" spans="1:6" ht="29.25" x14ac:dyDescent="0.25">
      <c r="A226" s="218">
        <f t="shared" si="10"/>
        <v>14</v>
      </c>
      <c r="B226" s="17" t="s">
        <v>66</v>
      </c>
      <c r="C226" s="218" t="s">
        <v>18</v>
      </c>
      <c r="D226" s="31">
        <v>90</v>
      </c>
      <c r="E226" s="59">
        <v>23781</v>
      </c>
      <c r="F226" s="249">
        <f t="shared" si="11"/>
        <v>2140290</v>
      </c>
    </row>
    <row r="227" spans="1:6" ht="85.5" x14ac:dyDescent="0.25">
      <c r="A227" s="218">
        <f t="shared" si="10"/>
        <v>15</v>
      </c>
      <c r="B227" s="57" t="s">
        <v>35</v>
      </c>
      <c r="C227" s="218" t="s">
        <v>18</v>
      </c>
      <c r="D227" s="31">
        <v>1</v>
      </c>
      <c r="E227" s="59">
        <v>637411</v>
      </c>
      <c r="F227" s="249">
        <f t="shared" si="11"/>
        <v>637411</v>
      </c>
    </row>
    <row r="228" spans="1:6" ht="86.25" x14ac:dyDescent="0.25">
      <c r="A228" s="218">
        <f t="shared" si="10"/>
        <v>16</v>
      </c>
      <c r="B228" s="17" t="s">
        <v>100</v>
      </c>
      <c r="C228" s="218" t="s">
        <v>37</v>
      </c>
      <c r="D228" s="31">
        <v>1</v>
      </c>
      <c r="E228" s="59">
        <v>777600</v>
      </c>
      <c r="F228" s="249">
        <f t="shared" si="11"/>
        <v>777600</v>
      </c>
    </row>
    <row r="229" spans="1:6" x14ac:dyDescent="0.25">
      <c r="A229" s="218">
        <f t="shared" si="10"/>
        <v>17</v>
      </c>
      <c r="B229" s="55" t="s">
        <v>38</v>
      </c>
      <c r="C229" s="218" t="s">
        <v>37</v>
      </c>
      <c r="D229" s="31">
        <v>3</v>
      </c>
      <c r="E229" s="59">
        <v>540447</v>
      </c>
      <c r="F229" s="249">
        <f t="shared" si="11"/>
        <v>1621341</v>
      </c>
    </row>
    <row r="230" spans="1:6" ht="43.5" x14ac:dyDescent="0.25">
      <c r="A230" s="218">
        <f t="shared" si="10"/>
        <v>18</v>
      </c>
      <c r="B230" s="17" t="s">
        <v>39</v>
      </c>
      <c r="C230" s="218" t="s">
        <v>18</v>
      </c>
      <c r="D230" s="31">
        <v>72</v>
      </c>
      <c r="E230" s="59">
        <v>13802</v>
      </c>
      <c r="F230" s="249">
        <f t="shared" si="11"/>
        <v>993744</v>
      </c>
    </row>
    <row r="231" spans="1:6" ht="57.75" x14ac:dyDescent="0.25">
      <c r="A231" s="218">
        <f t="shared" si="10"/>
        <v>19</v>
      </c>
      <c r="B231" s="17" t="s">
        <v>40</v>
      </c>
      <c r="C231" s="218" t="s">
        <v>23</v>
      </c>
      <c r="D231" s="31">
        <v>18</v>
      </c>
      <c r="E231" s="59">
        <v>399818</v>
      </c>
      <c r="F231" s="249">
        <f t="shared" si="11"/>
        <v>7196724</v>
      </c>
    </row>
    <row r="232" spans="1:6" ht="29.25" x14ac:dyDescent="0.25">
      <c r="A232" s="218">
        <f t="shared" si="10"/>
        <v>20</v>
      </c>
      <c r="B232" s="17" t="s">
        <v>67</v>
      </c>
      <c r="C232" s="218" t="s">
        <v>23</v>
      </c>
      <c r="D232" s="31">
        <v>18</v>
      </c>
      <c r="E232" s="59">
        <v>43482</v>
      </c>
      <c r="F232" s="249">
        <f t="shared" si="11"/>
        <v>782676</v>
      </c>
    </row>
    <row r="233" spans="1:6" x14ac:dyDescent="0.25">
      <c r="A233" s="218">
        <f t="shared" si="10"/>
        <v>21</v>
      </c>
      <c r="B233" s="55" t="s">
        <v>42</v>
      </c>
      <c r="C233" s="218" t="s">
        <v>23</v>
      </c>
      <c r="D233" s="31">
        <v>4</v>
      </c>
      <c r="E233" s="59">
        <v>90312</v>
      </c>
      <c r="F233" s="249">
        <f t="shared" si="11"/>
        <v>361248</v>
      </c>
    </row>
    <row r="234" spans="1:6" x14ac:dyDescent="0.25">
      <c r="A234" s="218">
        <f t="shared" si="10"/>
        <v>22</v>
      </c>
      <c r="B234" s="18" t="s">
        <v>43</v>
      </c>
      <c r="C234" s="20"/>
      <c r="D234" s="20"/>
      <c r="E234" s="59">
        <v>0</v>
      </c>
      <c r="F234" s="249">
        <f t="shared" si="11"/>
        <v>0</v>
      </c>
    </row>
    <row r="235" spans="1:6" ht="29.25" x14ac:dyDescent="0.25">
      <c r="A235" s="218">
        <f t="shared" si="10"/>
        <v>23</v>
      </c>
      <c r="B235" s="17" t="s">
        <v>44</v>
      </c>
      <c r="C235" s="218" t="s">
        <v>64</v>
      </c>
      <c r="D235" s="31">
        <v>16</v>
      </c>
      <c r="E235" s="59">
        <v>120657</v>
      </c>
      <c r="F235" s="249">
        <f t="shared" si="11"/>
        <v>1930512</v>
      </c>
    </row>
    <row r="236" spans="1:6" ht="29.25" x14ac:dyDescent="0.25">
      <c r="A236" s="218">
        <f t="shared" si="10"/>
        <v>24</v>
      </c>
      <c r="B236" s="17" t="s">
        <v>45</v>
      </c>
      <c r="C236" s="218" t="s">
        <v>64</v>
      </c>
      <c r="D236" s="31">
        <v>175</v>
      </c>
      <c r="E236" s="59">
        <v>22131</v>
      </c>
      <c r="F236" s="249">
        <f t="shared" si="11"/>
        <v>3872925</v>
      </c>
    </row>
    <row r="237" spans="1:6" ht="29.25" x14ac:dyDescent="0.25">
      <c r="A237" s="218">
        <f t="shared" si="10"/>
        <v>25</v>
      </c>
      <c r="B237" s="17" t="s">
        <v>46</v>
      </c>
      <c r="C237" s="218" t="s">
        <v>64</v>
      </c>
      <c r="D237" s="31">
        <v>32</v>
      </c>
      <c r="E237" s="59">
        <v>144847</v>
      </c>
      <c r="F237" s="249">
        <f t="shared" si="11"/>
        <v>4635104</v>
      </c>
    </row>
    <row r="238" spans="1:6" x14ac:dyDescent="0.25">
      <c r="A238" s="218">
        <f t="shared" si="10"/>
        <v>26</v>
      </c>
      <c r="B238" s="18" t="s">
        <v>48</v>
      </c>
      <c r="C238" s="20"/>
      <c r="D238" s="20"/>
      <c r="E238" s="59">
        <v>0</v>
      </c>
      <c r="F238" s="249">
        <f t="shared" si="11"/>
        <v>0</v>
      </c>
    </row>
    <row r="239" spans="1:6" ht="43.5" x14ac:dyDescent="0.25">
      <c r="A239" s="218">
        <f t="shared" si="10"/>
        <v>27</v>
      </c>
      <c r="B239" s="17" t="s">
        <v>49</v>
      </c>
      <c r="C239" s="218" t="s">
        <v>64</v>
      </c>
      <c r="D239" s="31">
        <v>1</v>
      </c>
      <c r="E239" s="59">
        <v>605480</v>
      </c>
      <c r="F239" s="249">
        <f t="shared" si="11"/>
        <v>605480</v>
      </c>
    </row>
    <row r="240" spans="1:6" ht="43.5" x14ac:dyDescent="0.25">
      <c r="A240" s="218">
        <f t="shared" si="10"/>
        <v>28</v>
      </c>
      <c r="B240" s="17" t="s">
        <v>50</v>
      </c>
      <c r="C240" s="218" t="s">
        <v>64</v>
      </c>
      <c r="D240" s="31">
        <v>24</v>
      </c>
      <c r="E240" s="59">
        <v>822268</v>
      </c>
      <c r="F240" s="249">
        <f t="shared" si="11"/>
        <v>19734432</v>
      </c>
    </row>
    <row r="241" spans="1:11" x14ac:dyDescent="0.25">
      <c r="A241" s="218">
        <f t="shared" si="10"/>
        <v>29</v>
      </c>
      <c r="B241" s="18" t="s">
        <v>51</v>
      </c>
      <c r="C241" s="20"/>
      <c r="D241" s="20"/>
      <c r="E241" s="59">
        <v>0</v>
      </c>
      <c r="F241" s="249">
        <f t="shared" si="11"/>
        <v>0</v>
      </c>
    </row>
    <row r="242" spans="1:11" ht="29.25" x14ac:dyDescent="0.25">
      <c r="A242" s="218">
        <f t="shared" si="10"/>
        <v>30</v>
      </c>
      <c r="B242" s="17" t="s">
        <v>52</v>
      </c>
      <c r="C242" s="218" t="s">
        <v>53</v>
      </c>
      <c r="D242" s="31">
        <v>18</v>
      </c>
      <c r="E242" s="59">
        <v>5922</v>
      </c>
      <c r="F242" s="249">
        <f t="shared" si="11"/>
        <v>106596</v>
      </c>
      <c r="K242" s="80"/>
    </row>
    <row r="243" spans="1:11" x14ac:dyDescent="0.25">
      <c r="A243" s="216"/>
      <c r="B243" s="18" t="s">
        <v>56</v>
      </c>
      <c r="C243" s="54"/>
      <c r="D243" s="130"/>
      <c r="E243" s="28"/>
      <c r="F243" s="28">
        <f>ROUND((F242+F241+F240+F239+F238+F237+F236+F235+F234+F233+F232+F231+F230+F229+F228+F227+F226+F225+F224+F223+F222+F221+F220+F219+F218+F217+F216+F215+F214+F213),0)</f>
        <v>67182509</v>
      </c>
    </row>
    <row r="244" spans="1:11" x14ac:dyDescent="0.25">
      <c r="A244" s="19"/>
      <c r="B244" s="19" t="s">
        <v>60</v>
      </c>
      <c r="C244" s="19"/>
      <c r="D244" s="19"/>
      <c r="E244" s="19"/>
      <c r="F244" s="29">
        <f>ROUND(F243/1.3495,0)</f>
        <v>49783260</v>
      </c>
    </row>
    <row r="245" spans="1:11" x14ac:dyDescent="0.25">
      <c r="A245" s="19"/>
      <c r="B245" s="19" t="s">
        <v>61</v>
      </c>
      <c r="C245" s="131">
        <v>0.24</v>
      </c>
      <c r="D245" s="19"/>
      <c r="E245" s="19"/>
      <c r="F245" s="29">
        <f>ROUND(F244*C245,0)</f>
        <v>11947982</v>
      </c>
    </row>
    <row r="246" spans="1:11" x14ac:dyDescent="0.25">
      <c r="A246" s="19"/>
      <c r="B246" s="19" t="s">
        <v>57</v>
      </c>
      <c r="C246" s="131">
        <v>0.05</v>
      </c>
      <c r="D246" s="19"/>
      <c r="E246" s="19"/>
      <c r="F246" s="29">
        <f>ROUND(F244*C246,0)</f>
        <v>2489163</v>
      </c>
    </row>
    <row r="247" spans="1:11" x14ac:dyDescent="0.25">
      <c r="A247" s="19"/>
      <c r="B247" s="19" t="s">
        <v>62</v>
      </c>
      <c r="C247" s="131">
        <v>0.05</v>
      </c>
      <c r="D247" s="19"/>
      <c r="E247" s="19"/>
      <c r="F247" s="29">
        <f>ROUND(F244*C247,0)</f>
        <v>2489163</v>
      </c>
    </row>
    <row r="248" spans="1:11" ht="29.25" x14ac:dyDescent="0.25">
      <c r="A248" s="19"/>
      <c r="B248" s="13" t="s">
        <v>63</v>
      </c>
      <c r="C248" s="133">
        <v>0.19</v>
      </c>
      <c r="D248" s="120"/>
      <c r="E248" s="120"/>
      <c r="F248" s="35">
        <f>ROUND(F247*19%,0)</f>
        <v>472941</v>
      </c>
    </row>
    <row r="249" spans="1:11" x14ac:dyDescent="0.25">
      <c r="A249" s="19"/>
      <c r="B249" s="18" t="s">
        <v>56</v>
      </c>
      <c r="C249" s="19"/>
      <c r="D249" s="19"/>
      <c r="E249" s="19"/>
      <c r="F249" s="30">
        <f>SUM(F244:F248)</f>
        <v>67182509</v>
      </c>
    </row>
    <row r="251" spans="1:11" ht="36" customHeight="1" x14ac:dyDescent="0.25">
      <c r="A251" s="427" t="s">
        <v>142</v>
      </c>
      <c r="B251" s="427"/>
      <c r="C251" s="427"/>
      <c r="D251" s="427"/>
      <c r="E251" s="427"/>
      <c r="F251" s="427"/>
    </row>
    <row r="252" spans="1:11" x14ac:dyDescent="0.25">
      <c r="A252" s="256"/>
      <c r="B252" s="256"/>
      <c r="C252" s="256"/>
      <c r="D252" s="256"/>
      <c r="E252" s="256"/>
      <c r="F252" s="256"/>
    </row>
    <row r="253" spans="1:11" x14ac:dyDescent="0.25">
      <c r="A253" s="257" t="s">
        <v>10</v>
      </c>
      <c r="B253" s="258" t="s">
        <v>0</v>
      </c>
      <c r="C253" s="259" t="s">
        <v>11</v>
      </c>
      <c r="D253" s="428" t="s">
        <v>12</v>
      </c>
      <c r="E253" s="429"/>
      <c r="F253" s="430"/>
    </row>
    <row r="254" spans="1:11" x14ac:dyDescent="0.25">
      <c r="A254" s="257"/>
      <c r="B254" s="258"/>
      <c r="C254" s="259"/>
      <c r="D254" s="258" t="s">
        <v>13</v>
      </c>
      <c r="E254" s="258" t="s">
        <v>106</v>
      </c>
      <c r="F254" s="258" t="s">
        <v>107</v>
      </c>
    </row>
    <row r="255" spans="1:11" x14ac:dyDescent="0.25">
      <c r="A255" s="218">
        <f t="shared" ref="A255:A291" si="12">A254+1</f>
        <v>1</v>
      </c>
      <c r="B255" s="258" t="s">
        <v>16</v>
      </c>
      <c r="C255" s="260"/>
      <c r="D255" s="256"/>
      <c r="E255" s="256"/>
      <c r="F255" s="256"/>
    </row>
    <row r="256" spans="1:11" ht="29.25" x14ac:dyDescent="0.25">
      <c r="A256" s="218">
        <f t="shared" si="12"/>
        <v>2</v>
      </c>
      <c r="B256" s="36" t="s">
        <v>91</v>
      </c>
      <c r="C256" s="261" t="s">
        <v>18</v>
      </c>
      <c r="D256" s="262">
        <v>92</v>
      </c>
      <c r="E256" s="58">
        <v>5214</v>
      </c>
      <c r="F256" s="249">
        <f t="shared" ref="F256:F291" si="13">ROUND(D256*E256,0)</f>
        <v>479688</v>
      </c>
    </row>
    <row r="257" spans="1:6" ht="43.5" x14ac:dyDescent="0.25">
      <c r="A257" s="218">
        <f t="shared" si="12"/>
        <v>3</v>
      </c>
      <c r="B257" s="36" t="s">
        <v>108</v>
      </c>
      <c r="C257" s="261" t="s">
        <v>20</v>
      </c>
      <c r="D257" s="58">
        <v>400</v>
      </c>
      <c r="E257" s="58">
        <v>9047</v>
      </c>
      <c r="F257" s="249">
        <f t="shared" si="13"/>
        <v>3618800</v>
      </c>
    </row>
    <row r="258" spans="1:6" ht="43.5" x14ac:dyDescent="0.25">
      <c r="A258" s="218">
        <f t="shared" si="12"/>
        <v>4</v>
      </c>
      <c r="B258" s="36" t="s">
        <v>21</v>
      </c>
      <c r="C258" s="261" t="s">
        <v>18</v>
      </c>
      <c r="D258" s="262">
        <v>150</v>
      </c>
      <c r="E258" s="58">
        <v>13608</v>
      </c>
      <c r="F258" s="249">
        <f t="shared" si="13"/>
        <v>2041200</v>
      </c>
    </row>
    <row r="259" spans="1:6" ht="57.75" x14ac:dyDescent="0.25">
      <c r="A259" s="218">
        <f t="shared" si="12"/>
        <v>5</v>
      </c>
      <c r="B259" s="36" t="s">
        <v>109</v>
      </c>
      <c r="C259" s="261" t="s">
        <v>23</v>
      </c>
      <c r="D259" s="262">
        <v>2</v>
      </c>
      <c r="E259" s="58">
        <v>155349</v>
      </c>
      <c r="F259" s="249">
        <f t="shared" si="13"/>
        <v>310698</v>
      </c>
    </row>
    <row r="260" spans="1:6" x14ac:dyDescent="0.25">
      <c r="A260" s="218">
        <f t="shared" si="12"/>
        <v>6</v>
      </c>
      <c r="B260" s="258" t="s">
        <v>25</v>
      </c>
      <c r="C260" s="261"/>
      <c r="D260" s="262"/>
      <c r="E260" s="58"/>
      <c r="F260" s="249">
        <f t="shared" si="13"/>
        <v>0</v>
      </c>
    </row>
    <row r="261" spans="1:6" ht="43.5" x14ac:dyDescent="0.25">
      <c r="A261" s="218">
        <f t="shared" si="12"/>
        <v>7</v>
      </c>
      <c r="B261" s="36" t="s">
        <v>110</v>
      </c>
      <c r="C261" s="261" t="s">
        <v>71</v>
      </c>
      <c r="D261" s="262">
        <v>12.5</v>
      </c>
      <c r="E261" s="58">
        <v>83312</v>
      </c>
      <c r="F261" s="249">
        <f t="shared" si="13"/>
        <v>1041400</v>
      </c>
    </row>
    <row r="262" spans="1:6" ht="57" x14ac:dyDescent="0.25">
      <c r="A262" s="218">
        <f t="shared" si="12"/>
        <v>8</v>
      </c>
      <c r="B262" s="37" t="s">
        <v>111</v>
      </c>
      <c r="C262" s="261" t="s">
        <v>18</v>
      </c>
      <c r="D262" s="262">
        <v>146</v>
      </c>
      <c r="E262" s="58">
        <v>7630</v>
      </c>
      <c r="F262" s="249">
        <f t="shared" si="13"/>
        <v>1113980</v>
      </c>
    </row>
    <row r="263" spans="1:6" ht="57.75" x14ac:dyDescent="0.25">
      <c r="A263" s="218">
        <f t="shared" si="12"/>
        <v>9</v>
      </c>
      <c r="B263" s="36" t="s">
        <v>112</v>
      </c>
      <c r="C263" s="261" t="s">
        <v>18</v>
      </c>
      <c r="D263" s="262">
        <v>90</v>
      </c>
      <c r="E263" s="58">
        <v>5630</v>
      </c>
      <c r="F263" s="249">
        <f t="shared" si="13"/>
        <v>506700</v>
      </c>
    </row>
    <row r="264" spans="1:6" x14ac:dyDescent="0.25">
      <c r="A264" s="218">
        <f t="shared" si="12"/>
        <v>10</v>
      </c>
      <c r="B264" s="258" t="s">
        <v>28</v>
      </c>
      <c r="C264" s="261"/>
      <c r="D264" s="262"/>
      <c r="E264" s="58"/>
      <c r="F264" s="249">
        <f t="shared" si="13"/>
        <v>0</v>
      </c>
    </row>
    <row r="265" spans="1:6" ht="43.5" x14ac:dyDescent="0.25">
      <c r="A265" s="218">
        <f t="shared" si="12"/>
        <v>11</v>
      </c>
      <c r="B265" s="36" t="s">
        <v>113</v>
      </c>
      <c r="C265" s="261" t="s">
        <v>71</v>
      </c>
      <c r="D265" s="262">
        <v>127</v>
      </c>
      <c r="E265" s="58">
        <v>26317</v>
      </c>
      <c r="F265" s="249">
        <f t="shared" si="13"/>
        <v>3342259</v>
      </c>
    </row>
    <row r="266" spans="1:6" ht="57.75" x14ac:dyDescent="0.25">
      <c r="A266" s="218">
        <f t="shared" si="12"/>
        <v>12</v>
      </c>
      <c r="B266" s="36" t="s">
        <v>114</v>
      </c>
      <c r="C266" s="261" t="s">
        <v>115</v>
      </c>
      <c r="D266" s="262">
        <v>28</v>
      </c>
      <c r="E266" s="58">
        <v>30682</v>
      </c>
      <c r="F266" s="249">
        <f t="shared" si="13"/>
        <v>859096</v>
      </c>
    </row>
    <row r="267" spans="1:6" ht="45" x14ac:dyDescent="0.25">
      <c r="A267" s="218">
        <f t="shared" si="12"/>
        <v>13</v>
      </c>
      <c r="B267" s="263" t="s">
        <v>116</v>
      </c>
      <c r="C267" s="261"/>
      <c r="D267" s="262"/>
      <c r="E267" s="58"/>
      <c r="F267" s="249">
        <f t="shared" si="13"/>
        <v>0</v>
      </c>
    </row>
    <row r="268" spans="1:6" ht="57.75" x14ac:dyDescent="0.25">
      <c r="A268" s="218">
        <f t="shared" si="12"/>
        <v>14</v>
      </c>
      <c r="B268" s="36" t="s">
        <v>117</v>
      </c>
      <c r="C268" s="261" t="s">
        <v>18</v>
      </c>
      <c r="D268" s="262">
        <v>90</v>
      </c>
      <c r="E268" s="58">
        <f>6*1981</f>
        <v>11886</v>
      </c>
      <c r="F268" s="249">
        <f t="shared" si="13"/>
        <v>1069740</v>
      </c>
    </row>
    <row r="269" spans="1:6" ht="57.75" x14ac:dyDescent="0.25">
      <c r="A269" s="218">
        <f t="shared" si="12"/>
        <v>15</v>
      </c>
      <c r="B269" s="36" t="s">
        <v>118</v>
      </c>
      <c r="C269" s="261" t="s">
        <v>18</v>
      </c>
      <c r="D269" s="262">
        <v>70</v>
      </c>
      <c r="E269" s="58">
        <f>12*1981</f>
        <v>23772</v>
      </c>
      <c r="F269" s="249">
        <f t="shared" si="13"/>
        <v>1664040</v>
      </c>
    </row>
    <row r="270" spans="1:6" ht="57.75" x14ac:dyDescent="0.25">
      <c r="A270" s="218">
        <f t="shared" si="12"/>
        <v>16</v>
      </c>
      <c r="B270" s="36" t="s">
        <v>844</v>
      </c>
      <c r="C270" s="261" t="s">
        <v>120</v>
      </c>
      <c r="D270" s="262">
        <v>15</v>
      </c>
      <c r="E270" s="58">
        <v>43482</v>
      </c>
      <c r="F270" s="249">
        <f t="shared" si="13"/>
        <v>652230</v>
      </c>
    </row>
    <row r="271" spans="1:6" x14ac:dyDescent="0.25">
      <c r="A271" s="218">
        <f t="shared" si="12"/>
        <v>17</v>
      </c>
      <c r="B271" s="258" t="s">
        <v>121</v>
      </c>
      <c r="C271" s="261"/>
      <c r="D271" s="262"/>
      <c r="E271" s="58"/>
      <c r="F271" s="249">
        <f t="shared" si="13"/>
        <v>0</v>
      </c>
    </row>
    <row r="272" spans="1:6" ht="43.5" x14ac:dyDescent="0.25">
      <c r="A272" s="218">
        <f t="shared" si="12"/>
        <v>18</v>
      </c>
      <c r="B272" s="36" t="s">
        <v>122</v>
      </c>
      <c r="C272" s="261" t="s">
        <v>18</v>
      </c>
      <c r="D272" s="262">
        <v>70</v>
      </c>
      <c r="E272" s="58">
        <v>31128</v>
      </c>
      <c r="F272" s="249">
        <f t="shared" si="13"/>
        <v>2178960</v>
      </c>
    </row>
    <row r="273" spans="1:6" ht="60" x14ac:dyDescent="0.25">
      <c r="A273" s="218">
        <f t="shared" si="12"/>
        <v>19</v>
      </c>
      <c r="B273" s="263" t="s">
        <v>123</v>
      </c>
      <c r="C273" s="261"/>
      <c r="D273" s="262"/>
      <c r="E273" s="58"/>
      <c r="F273" s="249">
        <f t="shared" si="13"/>
        <v>0</v>
      </c>
    </row>
    <row r="274" spans="1:6" ht="86.25" x14ac:dyDescent="0.25">
      <c r="A274" s="218">
        <f t="shared" si="12"/>
        <v>20</v>
      </c>
      <c r="B274" s="36" t="s">
        <v>124</v>
      </c>
      <c r="C274" s="261" t="s">
        <v>125</v>
      </c>
      <c r="D274" s="262">
        <v>15</v>
      </c>
      <c r="E274" s="58">
        <v>399818</v>
      </c>
      <c r="F274" s="249">
        <f t="shared" si="13"/>
        <v>5997270</v>
      </c>
    </row>
    <row r="275" spans="1:6" x14ac:dyDescent="0.25">
      <c r="A275" s="218">
        <f t="shared" si="12"/>
        <v>21</v>
      </c>
      <c r="B275" s="258" t="s">
        <v>126</v>
      </c>
      <c r="C275" s="260"/>
      <c r="D275" s="256"/>
      <c r="E275" s="243"/>
      <c r="F275" s="249">
        <f t="shared" si="13"/>
        <v>0</v>
      </c>
    </row>
    <row r="276" spans="1:6" ht="42.75" x14ac:dyDescent="0.25">
      <c r="A276" s="218">
        <f t="shared" si="12"/>
        <v>22</v>
      </c>
      <c r="B276" s="37" t="s">
        <v>127</v>
      </c>
      <c r="C276" s="261" t="s">
        <v>71</v>
      </c>
      <c r="D276" s="262">
        <v>155</v>
      </c>
      <c r="E276" s="58">
        <v>22131</v>
      </c>
      <c r="F276" s="249">
        <f t="shared" si="13"/>
        <v>3430305</v>
      </c>
    </row>
    <row r="277" spans="1:6" ht="57" x14ac:dyDescent="0.25">
      <c r="A277" s="218">
        <f t="shared" si="12"/>
        <v>23</v>
      </c>
      <c r="B277" s="37" t="s">
        <v>128</v>
      </c>
      <c r="C277" s="261" t="s">
        <v>71</v>
      </c>
      <c r="D277" s="262">
        <v>21</v>
      </c>
      <c r="E277" s="58">
        <v>65000</v>
      </c>
      <c r="F277" s="249">
        <f t="shared" si="13"/>
        <v>1365000</v>
      </c>
    </row>
    <row r="278" spans="1:6" ht="29.25" x14ac:dyDescent="0.25">
      <c r="A278" s="218">
        <f t="shared" si="12"/>
        <v>24</v>
      </c>
      <c r="B278" s="36" t="s">
        <v>129</v>
      </c>
      <c r="C278" s="261" t="s">
        <v>71</v>
      </c>
      <c r="D278" s="262">
        <v>9.5</v>
      </c>
      <c r="E278" s="58">
        <v>120657</v>
      </c>
      <c r="F278" s="249">
        <f t="shared" si="13"/>
        <v>1146242</v>
      </c>
    </row>
    <row r="279" spans="1:6" ht="45" x14ac:dyDescent="0.25">
      <c r="A279" s="218">
        <f t="shared" si="12"/>
        <v>25</v>
      </c>
      <c r="B279" s="263" t="s">
        <v>130</v>
      </c>
      <c r="C279" s="261"/>
      <c r="D279" s="262"/>
      <c r="E279" s="58"/>
      <c r="F279" s="249">
        <f t="shared" si="13"/>
        <v>0</v>
      </c>
    </row>
    <row r="280" spans="1:6" ht="86.25" x14ac:dyDescent="0.25">
      <c r="A280" s="218">
        <f t="shared" si="12"/>
        <v>26</v>
      </c>
      <c r="B280" s="36" t="s">
        <v>131</v>
      </c>
      <c r="C280" s="261" t="s">
        <v>71</v>
      </c>
      <c r="D280" s="262">
        <v>11</v>
      </c>
      <c r="E280" s="58">
        <v>144847</v>
      </c>
      <c r="F280" s="249">
        <f t="shared" si="13"/>
        <v>1593317</v>
      </c>
    </row>
    <row r="281" spans="1:6" ht="75" x14ac:dyDescent="0.25">
      <c r="A281" s="218">
        <f t="shared" si="12"/>
        <v>27</v>
      </c>
      <c r="B281" s="263" t="s">
        <v>132</v>
      </c>
      <c r="C281" s="261"/>
      <c r="D281" s="262"/>
      <c r="E281" s="58"/>
      <c r="F281" s="249">
        <f t="shared" si="13"/>
        <v>0</v>
      </c>
    </row>
    <row r="282" spans="1:6" ht="86.25" x14ac:dyDescent="0.25">
      <c r="A282" s="218">
        <f t="shared" si="12"/>
        <v>28</v>
      </c>
      <c r="B282" s="36" t="s">
        <v>133</v>
      </c>
      <c r="C282" s="261" t="s">
        <v>71</v>
      </c>
      <c r="D282" s="262">
        <v>7</v>
      </c>
      <c r="E282" s="58">
        <v>637411</v>
      </c>
      <c r="F282" s="249">
        <f t="shared" si="13"/>
        <v>4461877</v>
      </c>
    </row>
    <row r="283" spans="1:6" ht="100.5" x14ac:dyDescent="0.25">
      <c r="A283" s="218">
        <f t="shared" si="12"/>
        <v>29</v>
      </c>
      <c r="B283" s="36" t="s">
        <v>134</v>
      </c>
      <c r="C283" s="261" t="s">
        <v>18</v>
      </c>
      <c r="D283" s="262">
        <v>2</v>
      </c>
      <c r="E283" s="58">
        <v>540447</v>
      </c>
      <c r="F283" s="249">
        <f t="shared" si="13"/>
        <v>1080894</v>
      </c>
    </row>
    <row r="284" spans="1:6" ht="57.75" x14ac:dyDescent="0.25">
      <c r="A284" s="218">
        <f t="shared" si="12"/>
        <v>30</v>
      </c>
      <c r="B284" s="36" t="s">
        <v>135</v>
      </c>
      <c r="C284" s="261" t="s">
        <v>18</v>
      </c>
      <c r="D284" s="262">
        <v>3</v>
      </c>
      <c r="E284" s="58">
        <v>777600</v>
      </c>
      <c r="F284" s="249">
        <f t="shared" si="13"/>
        <v>2332800</v>
      </c>
    </row>
    <row r="285" spans="1:6" ht="30" x14ac:dyDescent="0.25">
      <c r="A285" s="218">
        <f t="shared" si="12"/>
        <v>31</v>
      </c>
      <c r="B285" s="263" t="s">
        <v>136</v>
      </c>
      <c r="C285" s="261"/>
      <c r="D285" s="262"/>
      <c r="E285" s="58"/>
      <c r="F285" s="249">
        <f t="shared" si="13"/>
        <v>0</v>
      </c>
    </row>
    <row r="286" spans="1:6" ht="57.75" x14ac:dyDescent="0.25">
      <c r="A286" s="218">
        <f t="shared" si="12"/>
        <v>32</v>
      </c>
      <c r="B286" s="36" t="s">
        <v>845</v>
      </c>
      <c r="C286" s="261" t="s">
        <v>71</v>
      </c>
      <c r="D286" s="262">
        <v>42</v>
      </c>
      <c r="E286" s="58">
        <v>32749</v>
      </c>
      <c r="F286" s="249">
        <f t="shared" si="13"/>
        <v>1375458</v>
      </c>
    </row>
    <row r="287" spans="1:6" ht="45" x14ac:dyDescent="0.25">
      <c r="A287" s="218">
        <f t="shared" si="12"/>
        <v>33</v>
      </c>
      <c r="B287" s="263" t="s">
        <v>138</v>
      </c>
      <c r="C287" s="261"/>
      <c r="D287" s="262"/>
      <c r="E287" s="58"/>
      <c r="F287" s="249">
        <f t="shared" si="13"/>
        <v>0</v>
      </c>
    </row>
    <row r="288" spans="1:6" ht="43.5" x14ac:dyDescent="0.25">
      <c r="A288" s="218">
        <f t="shared" si="12"/>
        <v>34</v>
      </c>
      <c r="B288" s="36" t="s">
        <v>86</v>
      </c>
      <c r="C288" s="261" t="s">
        <v>71</v>
      </c>
      <c r="D288" s="262">
        <v>12</v>
      </c>
      <c r="E288" s="58">
        <v>605480</v>
      </c>
      <c r="F288" s="249">
        <f t="shared" si="13"/>
        <v>7265760</v>
      </c>
    </row>
    <row r="289" spans="1:11" ht="57.75" x14ac:dyDescent="0.25">
      <c r="A289" s="218">
        <f t="shared" si="12"/>
        <v>35</v>
      </c>
      <c r="B289" s="36" t="s">
        <v>139</v>
      </c>
      <c r="C289" s="261" t="s">
        <v>71</v>
      </c>
      <c r="D289" s="262">
        <v>9</v>
      </c>
      <c r="E289" s="58">
        <v>822268</v>
      </c>
      <c r="F289" s="249">
        <f t="shared" si="13"/>
        <v>7400412</v>
      </c>
    </row>
    <row r="290" spans="1:11" x14ac:dyDescent="0.25">
      <c r="A290" s="218">
        <f t="shared" si="12"/>
        <v>36</v>
      </c>
      <c r="B290" s="258" t="s">
        <v>51</v>
      </c>
      <c r="C290" s="261"/>
      <c r="D290" s="262"/>
      <c r="E290" s="58"/>
      <c r="F290" s="249">
        <f t="shared" si="13"/>
        <v>0</v>
      </c>
    </row>
    <row r="291" spans="1:11" ht="72" x14ac:dyDescent="0.25">
      <c r="A291" s="218">
        <f t="shared" si="12"/>
        <v>37</v>
      </c>
      <c r="B291" s="36" t="s">
        <v>140</v>
      </c>
      <c r="C291" s="261" t="s">
        <v>141</v>
      </c>
      <c r="D291" s="262">
        <v>150</v>
      </c>
      <c r="E291" s="58">
        <v>5922</v>
      </c>
      <c r="F291" s="249">
        <f t="shared" si="13"/>
        <v>888300</v>
      </c>
      <c r="K291" s="80"/>
    </row>
    <row r="292" spans="1:11" x14ac:dyDescent="0.25">
      <c r="A292" s="216"/>
      <c r="B292" s="18" t="s">
        <v>56</v>
      </c>
      <c r="C292" s="54"/>
      <c r="D292" s="130"/>
      <c r="E292" s="28"/>
      <c r="F292" s="28">
        <f>ROUND((F291+F290+F289+F288+F287+F286+F285+F284+F283+F282+F281+F280+F279+F278+F277+F276+F275+F274+F273+F272+F271+F270+F269+F268+F267+F266+F265+F264+F263+F262+F261+F259+F258+F257+F256),0)</f>
        <v>57216426</v>
      </c>
    </row>
    <row r="293" spans="1:11" x14ac:dyDescent="0.25">
      <c r="A293" s="19"/>
      <c r="B293" s="19" t="s">
        <v>60</v>
      </c>
      <c r="C293" s="19"/>
      <c r="D293" s="19"/>
      <c r="E293" s="19"/>
      <c r="F293" s="29">
        <f>ROUND(F292/1.3495,0)</f>
        <v>42398241</v>
      </c>
    </row>
    <row r="294" spans="1:11" x14ac:dyDescent="0.25">
      <c r="A294" s="19"/>
      <c r="B294" s="19" t="s">
        <v>61</v>
      </c>
      <c r="C294" s="131">
        <v>0.24</v>
      </c>
      <c r="D294" s="19"/>
      <c r="E294" s="19"/>
      <c r="F294" s="29">
        <f>ROUND(F293*C294,0)</f>
        <v>10175578</v>
      </c>
    </row>
    <row r="295" spans="1:11" x14ac:dyDescent="0.25">
      <c r="A295" s="19"/>
      <c r="B295" s="19" t="s">
        <v>57</v>
      </c>
      <c r="C295" s="131">
        <v>0.05</v>
      </c>
      <c r="D295" s="19"/>
      <c r="E295" s="19"/>
      <c r="F295" s="29">
        <f>ROUND(F293*C295,0)</f>
        <v>2119912</v>
      </c>
    </row>
    <row r="296" spans="1:11" x14ac:dyDescent="0.25">
      <c r="A296" s="19"/>
      <c r="B296" s="19" t="s">
        <v>62</v>
      </c>
      <c r="C296" s="131">
        <v>0.05</v>
      </c>
      <c r="D296" s="19"/>
      <c r="E296" s="19"/>
      <c r="F296" s="29">
        <f>ROUND(F293*C296,0)</f>
        <v>2119912</v>
      </c>
    </row>
    <row r="297" spans="1:11" ht="29.25" x14ac:dyDescent="0.25">
      <c r="A297" s="19"/>
      <c r="B297" s="13" t="s">
        <v>63</v>
      </c>
      <c r="C297" s="133">
        <v>0.19</v>
      </c>
      <c r="D297" s="120"/>
      <c r="E297" s="120"/>
      <c r="F297" s="35">
        <f>ROUND(F296*19%,0)</f>
        <v>402783</v>
      </c>
    </row>
    <row r="298" spans="1:11" x14ac:dyDescent="0.25">
      <c r="A298" s="19"/>
      <c r="B298" s="18" t="s">
        <v>56</v>
      </c>
      <c r="C298" s="19"/>
      <c r="D298" s="19"/>
      <c r="E298" s="19"/>
      <c r="F298" s="30">
        <f>SUM(F293:F297)</f>
        <v>57216426</v>
      </c>
    </row>
    <row r="300" spans="1:11" x14ac:dyDescent="0.25">
      <c r="A300" s="427" t="s">
        <v>143</v>
      </c>
      <c r="B300" s="427"/>
      <c r="C300" s="427"/>
      <c r="D300" s="427"/>
      <c r="E300" s="427"/>
      <c r="F300" s="427"/>
    </row>
    <row r="301" spans="1:11" x14ac:dyDescent="0.25">
      <c r="A301" s="261" t="s">
        <v>10</v>
      </c>
      <c r="B301" s="256" t="s">
        <v>0</v>
      </c>
      <c r="C301" s="256" t="s">
        <v>11</v>
      </c>
      <c r="D301" s="256" t="s">
        <v>12</v>
      </c>
      <c r="E301" s="256"/>
      <c r="F301" s="256"/>
    </row>
    <row r="302" spans="1:11" x14ac:dyDescent="0.25">
      <c r="A302" s="261"/>
      <c r="B302" s="256"/>
      <c r="C302" s="256"/>
      <c r="D302" s="256" t="s">
        <v>13</v>
      </c>
      <c r="E302" s="256" t="s">
        <v>14</v>
      </c>
      <c r="F302" s="256" t="s">
        <v>15</v>
      </c>
    </row>
    <row r="303" spans="1:11" x14ac:dyDescent="0.25">
      <c r="A303" s="218">
        <f t="shared" ref="A303:A333" si="14">A302+1</f>
        <v>1</v>
      </c>
      <c r="B303" s="258" t="s">
        <v>16</v>
      </c>
      <c r="C303" s="256"/>
      <c r="D303" s="256"/>
      <c r="E303" s="256"/>
      <c r="F303" s="256"/>
    </row>
    <row r="304" spans="1:11" ht="29.25" x14ac:dyDescent="0.25">
      <c r="A304" s="218">
        <f t="shared" si="14"/>
        <v>2</v>
      </c>
      <c r="B304" s="36" t="s">
        <v>73</v>
      </c>
      <c r="C304" s="261" t="s">
        <v>18</v>
      </c>
      <c r="D304" s="261">
        <v>72</v>
      </c>
      <c r="E304" s="264">
        <v>5214</v>
      </c>
      <c r="F304" s="249">
        <f t="shared" ref="F304:F333" si="15">ROUND(D304*E304,0)</f>
        <v>375408</v>
      </c>
    </row>
    <row r="305" spans="1:6" ht="57.75" x14ac:dyDescent="0.25">
      <c r="A305" s="218">
        <f t="shared" si="14"/>
        <v>3</v>
      </c>
      <c r="B305" s="36" t="s">
        <v>144</v>
      </c>
      <c r="C305" s="261" t="s">
        <v>18</v>
      </c>
      <c r="D305" s="261">
        <v>80</v>
      </c>
      <c r="E305" s="264">
        <v>7350</v>
      </c>
      <c r="F305" s="249">
        <f t="shared" si="15"/>
        <v>588000</v>
      </c>
    </row>
    <row r="306" spans="1:6" ht="29.25" x14ac:dyDescent="0.25">
      <c r="A306" s="218">
        <f t="shared" si="14"/>
        <v>4</v>
      </c>
      <c r="B306" s="36" t="s">
        <v>145</v>
      </c>
      <c r="C306" s="261" t="s">
        <v>146</v>
      </c>
      <c r="D306" s="261">
        <v>150</v>
      </c>
      <c r="E306" s="264">
        <v>64000</v>
      </c>
      <c r="F306" s="249">
        <f t="shared" si="15"/>
        <v>9600000</v>
      </c>
    </row>
    <row r="307" spans="1:6" ht="43.5" x14ac:dyDescent="0.25">
      <c r="A307" s="218">
        <f t="shared" si="14"/>
        <v>5</v>
      </c>
      <c r="B307" s="36" t="s">
        <v>21</v>
      </c>
      <c r="C307" s="261" t="s">
        <v>18</v>
      </c>
      <c r="D307" s="261">
        <v>156</v>
      </c>
      <c r="E307" s="264">
        <v>13608</v>
      </c>
      <c r="F307" s="249">
        <f t="shared" si="15"/>
        <v>2122848</v>
      </c>
    </row>
    <row r="308" spans="1:6" ht="29.25" x14ac:dyDescent="0.25">
      <c r="A308" s="218">
        <f t="shared" si="14"/>
        <v>6</v>
      </c>
      <c r="B308" s="36" t="s">
        <v>22</v>
      </c>
      <c r="C308" s="261" t="s">
        <v>23</v>
      </c>
      <c r="D308" s="261">
        <v>2</v>
      </c>
      <c r="E308" s="264">
        <v>155349</v>
      </c>
      <c r="F308" s="249">
        <f t="shared" si="15"/>
        <v>310698</v>
      </c>
    </row>
    <row r="309" spans="1:6" x14ac:dyDescent="0.25">
      <c r="A309" s="218">
        <f>A308+1</f>
        <v>7</v>
      </c>
      <c r="B309" s="258" t="s">
        <v>25</v>
      </c>
      <c r="C309" s="261"/>
      <c r="D309" s="261"/>
      <c r="E309" s="264"/>
      <c r="F309" s="249">
        <f t="shared" si="15"/>
        <v>0</v>
      </c>
    </row>
    <row r="310" spans="1:6" ht="29.25" x14ac:dyDescent="0.25">
      <c r="A310" s="218">
        <f t="shared" si="14"/>
        <v>8</v>
      </c>
      <c r="B310" s="36" t="s">
        <v>26</v>
      </c>
      <c r="C310" s="261" t="s">
        <v>18</v>
      </c>
      <c r="D310" s="261">
        <v>72</v>
      </c>
      <c r="E310" s="264">
        <v>83312</v>
      </c>
      <c r="F310" s="249">
        <f t="shared" si="15"/>
        <v>5998464</v>
      </c>
    </row>
    <row r="311" spans="1:6" ht="86.25" x14ac:dyDescent="0.25">
      <c r="A311" s="218">
        <f t="shared" si="14"/>
        <v>9</v>
      </c>
      <c r="B311" s="36" t="s">
        <v>147</v>
      </c>
      <c r="C311" s="261" t="s">
        <v>71</v>
      </c>
      <c r="D311" s="261">
        <v>11.5</v>
      </c>
      <c r="E311" s="264">
        <v>83312</v>
      </c>
      <c r="F311" s="249">
        <f t="shared" si="15"/>
        <v>958088</v>
      </c>
    </row>
    <row r="312" spans="1:6" x14ac:dyDescent="0.25">
      <c r="A312" s="218">
        <f t="shared" si="14"/>
        <v>10</v>
      </c>
      <c r="B312" s="258" t="s">
        <v>28</v>
      </c>
      <c r="C312" s="256"/>
      <c r="D312" s="256"/>
      <c r="E312" s="265"/>
      <c r="F312" s="249">
        <f t="shared" si="15"/>
        <v>0</v>
      </c>
    </row>
    <row r="313" spans="1:6" ht="29.25" x14ac:dyDescent="0.25">
      <c r="A313" s="218">
        <f t="shared" si="14"/>
        <v>11</v>
      </c>
      <c r="B313" s="36" t="s">
        <v>29</v>
      </c>
      <c r="C313" s="261" t="s">
        <v>71</v>
      </c>
      <c r="D313" s="261">
        <v>80</v>
      </c>
      <c r="E313" s="264">
        <v>26317</v>
      </c>
      <c r="F313" s="249">
        <f t="shared" si="15"/>
        <v>2105360</v>
      </c>
    </row>
    <row r="314" spans="1:6" ht="29.25" x14ac:dyDescent="0.25">
      <c r="A314" s="218">
        <f t="shared" si="14"/>
        <v>12</v>
      </c>
      <c r="B314" s="36" t="s">
        <v>148</v>
      </c>
      <c r="C314" s="261" t="s">
        <v>18</v>
      </c>
      <c r="D314" s="261">
        <v>60</v>
      </c>
      <c r="E314" s="264">
        <v>31128</v>
      </c>
      <c r="F314" s="249">
        <f t="shared" si="15"/>
        <v>1867680</v>
      </c>
    </row>
    <row r="315" spans="1:6" ht="43.5" x14ac:dyDescent="0.25">
      <c r="A315" s="218">
        <f t="shared" si="14"/>
        <v>13</v>
      </c>
      <c r="B315" s="36" t="s">
        <v>32</v>
      </c>
      <c r="C315" s="261" t="s">
        <v>71</v>
      </c>
      <c r="D315" s="261">
        <v>40</v>
      </c>
      <c r="E315" s="264">
        <v>32749</v>
      </c>
      <c r="F315" s="249">
        <f t="shared" si="15"/>
        <v>1309960</v>
      </c>
    </row>
    <row r="316" spans="1:6" ht="30" x14ac:dyDescent="0.25">
      <c r="A316" s="218">
        <f t="shared" si="14"/>
        <v>14</v>
      </c>
      <c r="B316" s="263" t="s">
        <v>33</v>
      </c>
      <c r="C316" s="261"/>
      <c r="D316" s="261"/>
      <c r="E316" s="264"/>
      <c r="F316" s="249">
        <f t="shared" si="15"/>
        <v>0</v>
      </c>
    </row>
    <row r="317" spans="1:6" ht="29.25" x14ac:dyDescent="0.25">
      <c r="A317" s="218">
        <f t="shared" si="14"/>
        <v>15</v>
      </c>
      <c r="B317" s="36" t="s">
        <v>149</v>
      </c>
      <c r="C317" s="261" t="s">
        <v>18</v>
      </c>
      <c r="D317" s="261">
        <v>72</v>
      </c>
      <c r="E317" s="264">
        <v>19810</v>
      </c>
      <c r="F317" s="249">
        <f t="shared" si="15"/>
        <v>1426320</v>
      </c>
    </row>
    <row r="318" spans="1:6" ht="86.25" x14ac:dyDescent="0.25">
      <c r="A318" s="218">
        <f t="shared" si="14"/>
        <v>16</v>
      </c>
      <c r="B318" s="36" t="s">
        <v>35</v>
      </c>
      <c r="C318" s="261" t="s">
        <v>18</v>
      </c>
      <c r="D318" s="261">
        <v>2</v>
      </c>
      <c r="E318" s="264">
        <v>637411</v>
      </c>
      <c r="F318" s="249">
        <f t="shared" si="15"/>
        <v>1274822</v>
      </c>
    </row>
    <row r="319" spans="1:6" ht="85.5" x14ac:dyDescent="0.25">
      <c r="A319" s="218">
        <f t="shared" si="14"/>
        <v>17</v>
      </c>
      <c r="B319" s="37" t="s">
        <v>150</v>
      </c>
      <c r="C319" s="261" t="s">
        <v>37</v>
      </c>
      <c r="D319" s="261">
        <v>2</v>
      </c>
      <c r="E319" s="264">
        <v>777600</v>
      </c>
      <c r="F319" s="249">
        <f t="shared" si="15"/>
        <v>1555200</v>
      </c>
    </row>
    <row r="320" spans="1:6" x14ac:dyDescent="0.25">
      <c r="A320" s="218">
        <f t="shared" si="14"/>
        <v>18</v>
      </c>
      <c r="B320" s="256" t="s">
        <v>38</v>
      </c>
      <c r="C320" s="261" t="s">
        <v>37</v>
      </c>
      <c r="D320" s="261">
        <v>2</v>
      </c>
      <c r="E320" s="264">
        <v>540447</v>
      </c>
      <c r="F320" s="249">
        <f t="shared" si="15"/>
        <v>1080894</v>
      </c>
    </row>
    <row r="321" spans="1:6" ht="43.5" x14ac:dyDescent="0.25">
      <c r="A321" s="218">
        <f t="shared" si="14"/>
        <v>19</v>
      </c>
      <c r="B321" s="36" t="s">
        <v>39</v>
      </c>
      <c r="C321" s="261" t="s">
        <v>18</v>
      </c>
      <c r="D321" s="261">
        <v>12</v>
      </c>
      <c r="E321" s="264">
        <f>1981*6</f>
        <v>11886</v>
      </c>
      <c r="F321" s="249">
        <f t="shared" si="15"/>
        <v>142632</v>
      </c>
    </row>
    <row r="322" spans="1:6" ht="57.75" x14ac:dyDescent="0.25">
      <c r="A322" s="218">
        <f t="shared" si="14"/>
        <v>20</v>
      </c>
      <c r="B322" s="36" t="s">
        <v>40</v>
      </c>
      <c r="C322" s="261" t="s">
        <v>23</v>
      </c>
      <c r="D322" s="261">
        <v>4</v>
      </c>
      <c r="E322" s="264">
        <v>399818</v>
      </c>
      <c r="F322" s="249">
        <f t="shared" si="15"/>
        <v>1599272</v>
      </c>
    </row>
    <row r="323" spans="1:6" ht="29.25" x14ac:dyDescent="0.25">
      <c r="A323" s="218">
        <f t="shared" si="14"/>
        <v>21</v>
      </c>
      <c r="B323" s="36" t="s">
        <v>151</v>
      </c>
      <c r="C323" s="261" t="s">
        <v>23</v>
      </c>
      <c r="D323" s="261">
        <v>4</v>
      </c>
      <c r="E323" s="264">
        <v>43482</v>
      </c>
      <c r="F323" s="249">
        <f t="shared" si="15"/>
        <v>173928</v>
      </c>
    </row>
    <row r="324" spans="1:6" x14ac:dyDescent="0.25">
      <c r="A324" s="218">
        <f t="shared" si="14"/>
        <v>22</v>
      </c>
      <c r="B324" s="256" t="s">
        <v>42</v>
      </c>
      <c r="C324" s="261" t="s">
        <v>23</v>
      </c>
      <c r="D324" s="261">
        <v>4</v>
      </c>
      <c r="E324" s="264">
        <v>90312</v>
      </c>
      <c r="F324" s="249">
        <f t="shared" si="15"/>
        <v>361248</v>
      </c>
    </row>
    <row r="325" spans="1:6" x14ac:dyDescent="0.25">
      <c r="A325" s="218">
        <f t="shared" si="14"/>
        <v>23</v>
      </c>
      <c r="B325" s="258" t="s">
        <v>43</v>
      </c>
      <c r="C325" s="261"/>
      <c r="D325" s="261"/>
      <c r="E325" s="264"/>
      <c r="F325" s="249">
        <f t="shared" si="15"/>
        <v>0</v>
      </c>
    </row>
    <row r="326" spans="1:6" ht="29.25" x14ac:dyDescent="0.25">
      <c r="A326" s="218">
        <f t="shared" si="14"/>
        <v>24</v>
      </c>
      <c r="B326" s="36" t="s">
        <v>44</v>
      </c>
      <c r="C326" s="261" t="s">
        <v>71</v>
      </c>
      <c r="D326" s="261">
        <v>6</v>
      </c>
      <c r="E326" s="264">
        <v>120657</v>
      </c>
      <c r="F326" s="249">
        <f t="shared" si="15"/>
        <v>723942</v>
      </c>
    </row>
    <row r="327" spans="1:6" ht="29.25" x14ac:dyDescent="0.25">
      <c r="A327" s="218">
        <f t="shared" si="14"/>
        <v>25</v>
      </c>
      <c r="B327" s="36" t="s">
        <v>45</v>
      </c>
      <c r="C327" s="261" t="s">
        <v>71</v>
      </c>
      <c r="D327" s="261">
        <v>52</v>
      </c>
      <c r="E327" s="264">
        <v>22131</v>
      </c>
      <c r="F327" s="249">
        <f t="shared" si="15"/>
        <v>1150812</v>
      </c>
    </row>
    <row r="328" spans="1:6" ht="29.25" x14ac:dyDescent="0.25">
      <c r="A328" s="218">
        <f t="shared" si="14"/>
        <v>26</v>
      </c>
      <c r="B328" s="36" t="s">
        <v>152</v>
      </c>
      <c r="C328" s="261" t="s">
        <v>71</v>
      </c>
      <c r="D328" s="261">
        <v>15</v>
      </c>
      <c r="E328" s="264">
        <v>144268</v>
      </c>
      <c r="F328" s="249">
        <f t="shared" si="15"/>
        <v>2164020</v>
      </c>
    </row>
    <row r="329" spans="1:6" x14ac:dyDescent="0.25">
      <c r="A329" s="218">
        <f t="shared" si="14"/>
        <v>27</v>
      </c>
      <c r="B329" s="258" t="s">
        <v>48</v>
      </c>
      <c r="C329" s="261"/>
      <c r="D329" s="261"/>
      <c r="E329" s="264"/>
      <c r="F329" s="249">
        <f t="shared" si="15"/>
        <v>0</v>
      </c>
    </row>
    <row r="330" spans="1:6" ht="43.5" x14ac:dyDescent="0.25">
      <c r="A330" s="218">
        <f t="shared" si="14"/>
        <v>28</v>
      </c>
      <c r="B330" s="36" t="s">
        <v>49</v>
      </c>
      <c r="C330" s="261" t="s">
        <v>71</v>
      </c>
      <c r="D330" s="261">
        <v>0.5</v>
      </c>
      <c r="E330" s="264">
        <v>605480</v>
      </c>
      <c r="F330" s="249">
        <f t="shared" si="15"/>
        <v>302740</v>
      </c>
    </row>
    <row r="331" spans="1:6" ht="57.75" x14ac:dyDescent="0.25">
      <c r="A331" s="218">
        <f t="shared" si="14"/>
        <v>29</v>
      </c>
      <c r="B331" s="36" t="s">
        <v>153</v>
      </c>
      <c r="C331" s="261" t="s">
        <v>71</v>
      </c>
      <c r="D331" s="261">
        <v>11.5</v>
      </c>
      <c r="E331" s="264">
        <v>822268</v>
      </c>
      <c r="F331" s="249">
        <f t="shared" si="15"/>
        <v>9456082</v>
      </c>
    </row>
    <row r="332" spans="1:6" x14ac:dyDescent="0.25">
      <c r="A332" s="218">
        <f t="shared" si="14"/>
        <v>30</v>
      </c>
      <c r="B332" s="258" t="s">
        <v>51</v>
      </c>
      <c r="C332" s="261"/>
      <c r="D332" s="261"/>
      <c r="E332" s="264"/>
      <c r="F332" s="249">
        <v>0</v>
      </c>
    </row>
    <row r="333" spans="1:6" x14ac:dyDescent="0.25">
      <c r="A333" s="218">
        <f t="shared" si="14"/>
        <v>31</v>
      </c>
      <c r="B333" s="256" t="s">
        <v>154</v>
      </c>
      <c r="C333" s="261" t="s">
        <v>53</v>
      </c>
      <c r="D333" s="261">
        <v>36</v>
      </c>
      <c r="E333" s="264">
        <v>5922</v>
      </c>
      <c r="F333" s="249">
        <f t="shared" si="15"/>
        <v>213192</v>
      </c>
    </row>
    <row r="334" spans="1:6" x14ac:dyDescent="0.25">
      <c r="A334" s="216"/>
      <c r="B334" s="18" t="s">
        <v>56</v>
      </c>
      <c r="C334" s="54"/>
      <c r="D334" s="130"/>
      <c r="E334" s="28"/>
      <c r="F334" s="28">
        <f>ROUND((F333+F332+F331+F330+F329+F328+F327+F326+F325+F324+F323+F322+F321+F320+F319+F318+F317+F316+F315+F314+F313+F312+F311+F310+F309+F308+F307+F306+F305+F304),0)</f>
        <v>46861610</v>
      </c>
    </row>
    <row r="335" spans="1:6" x14ac:dyDescent="0.25">
      <c r="A335" s="19"/>
      <c r="B335" s="19" t="s">
        <v>60</v>
      </c>
      <c r="C335" s="19"/>
      <c r="D335" s="19"/>
      <c r="E335" s="19"/>
      <c r="F335" s="29">
        <f>ROUND(F334/1.3495,0)</f>
        <v>34725165</v>
      </c>
    </row>
    <row r="336" spans="1:6" x14ac:dyDescent="0.25">
      <c r="A336" s="19"/>
      <c r="B336" s="19" t="s">
        <v>61</v>
      </c>
      <c r="C336" s="131">
        <v>0.24</v>
      </c>
      <c r="D336" s="19"/>
      <c r="E336" s="19"/>
      <c r="F336" s="29">
        <f>ROUND(F335*C336,0)</f>
        <v>8334040</v>
      </c>
    </row>
    <row r="337" spans="1:6" x14ac:dyDescent="0.25">
      <c r="A337" s="19"/>
      <c r="B337" s="19" t="s">
        <v>57</v>
      </c>
      <c r="C337" s="131">
        <v>0.05</v>
      </c>
      <c r="D337" s="19"/>
      <c r="E337" s="19"/>
      <c r="F337" s="29">
        <f>ROUND(F335*C337,0)</f>
        <v>1736258</v>
      </c>
    </row>
    <row r="338" spans="1:6" x14ac:dyDescent="0.25">
      <c r="A338" s="19"/>
      <c r="B338" s="19" t="s">
        <v>62</v>
      </c>
      <c r="C338" s="131">
        <v>0.05</v>
      </c>
      <c r="D338" s="19"/>
      <c r="E338" s="19"/>
      <c r="F338" s="29">
        <f>ROUND(F335*C338,0)</f>
        <v>1736258</v>
      </c>
    </row>
    <row r="339" spans="1:6" ht="29.25" x14ac:dyDescent="0.25">
      <c r="A339" s="19"/>
      <c r="B339" s="13" t="s">
        <v>63</v>
      </c>
      <c r="C339" s="133">
        <v>0.19</v>
      </c>
      <c r="D339" s="120"/>
      <c r="E339" s="120"/>
      <c r="F339" s="35">
        <f>ROUND(F338*19%,0)</f>
        <v>329889</v>
      </c>
    </row>
    <row r="340" spans="1:6" x14ac:dyDescent="0.25">
      <c r="A340" s="19"/>
      <c r="B340" s="18" t="s">
        <v>56</v>
      </c>
      <c r="C340" s="19"/>
      <c r="D340" s="19"/>
      <c r="E340" s="19"/>
      <c r="F340" s="30">
        <f>SUM(F335:F339)</f>
        <v>46861610</v>
      </c>
    </row>
    <row r="342" spans="1:6" x14ac:dyDescent="0.25">
      <c r="A342" s="422" t="s">
        <v>972</v>
      </c>
      <c r="B342" s="422"/>
      <c r="C342" s="422"/>
      <c r="D342" s="422"/>
      <c r="E342" s="422"/>
      <c r="F342" s="422"/>
    </row>
    <row r="343" spans="1:6" x14ac:dyDescent="0.25">
      <c r="A343" s="420" t="s">
        <v>10</v>
      </c>
      <c r="B343" s="420" t="s">
        <v>0</v>
      </c>
      <c r="C343" s="420" t="s">
        <v>11</v>
      </c>
      <c r="D343" s="420" t="s">
        <v>12</v>
      </c>
      <c r="E343" s="420"/>
      <c r="F343" s="420"/>
    </row>
    <row r="344" spans="1:6" x14ac:dyDescent="0.25">
      <c r="A344" s="420"/>
      <c r="B344" s="420"/>
      <c r="C344" s="420"/>
      <c r="D344" s="54" t="s">
        <v>13</v>
      </c>
      <c r="E344" s="54" t="s">
        <v>14</v>
      </c>
      <c r="F344" s="54" t="s">
        <v>15</v>
      </c>
    </row>
    <row r="345" spans="1:6" x14ac:dyDescent="0.25">
      <c r="A345" s="218">
        <f t="shared" ref="A345:A374" si="16">A344+1</f>
        <v>1</v>
      </c>
      <c r="B345" s="18" t="s">
        <v>16</v>
      </c>
      <c r="C345" s="420"/>
      <c r="D345" s="420"/>
      <c r="E345" s="420"/>
      <c r="F345" s="20"/>
    </row>
    <row r="346" spans="1:6" ht="29.25" x14ac:dyDescent="0.25">
      <c r="A346" s="218">
        <f t="shared" si="16"/>
        <v>2</v>
      </c>
      <c r="B346" s="17" t="s">
        <v>73</v>
      </c>
      <c r="C346" s="218" t="s">
        <v>18</v>
      </c>
      <c r="D346" s="31">
        <v>72</v>
      </c>
      <c r="E346" s="59">
        <v>5214</v>
      </c>
      <c r="F346" s="249">
        <f t="shared" ref="F346:F374" si="17">ROUND(D346*E346,0)</f>
        <v>375408</v>
      </c>
    </row>
    <row r="347" spans="1:6" ht="29.25" x14ac:dyDescent="0.25">
      <c r="A347" s="218">
        <f t="shared" si="16"/>
        <v>3</v>
      </c>
      <c r="B347" s="17" t="s">
        <v>19</v>
      </c>
      <c r="C347" s="218" t="s">
        <v>20</v>
      </c>
      <c r="D347" s="31">
        <v>432</v>
      </c>
      <c r="E347" s="59">
        <v>9047</v>
      </c>
      <c r="F347" s="249">
        <f t="shared" si="17"/>
        <v>3908304</v>
      </c>
    </row>
    <row r="348" spans="1:6" ht="43.5" x14ac:dyDescent="0.25">
      <c r="A348" s="218">
        <f t="shared" si="16"/>
        <v>4</v>
      </c>
      <c r="B348" s="17" t="s">
        <v>21</v>
      </c>
      <c r="C348" s="218" t="s">
        <v>18</v>
      </c>
      <c r="D348" s="31">
        <v>156</v>
      </c>
      <c r="E348" s="59">
        <v>13608</v>
      </c>
      <c r="F348" s="249">
        <f t="shared" si="17"/>
        <v>2122848</v>
      </c>
    </row>
    <row r="349" spans="1:6" ht="29.25" x14ac:dyDescent="0.25">
      <c r="A349" s="218">
        <f t="shared" si="16"/>
        <v>5</v>
      </c>
      <c r="B349" s="17" t="s">
        <v>22</v>
      </c>
      <c r="C349" s="218" t="s">
        <v>23</v>
      </c>
      <c r="D349" s="31">
        <v>2</v>
      </c>
      <c r="E349" s="59">
        <v>155349</v>
      </c>
      <c r="F349" s="249">
        <f t="shared" si="17"/>
        <v>310698</v>
      </c>
    </row>
    <row r="350" spans="1:6" x14ac:dyDescent="0.25">
      <c r="A350" s="218">
        <f t="shared" si="16"/>
        <v>6</v>
      </c>
      <c r="B350" s="18" t="s">
        <v>25</v>
      </c>
      <c r="C350" s="20"/>
      <c r="D350" s="20"/>
      <c r="E350" s="59">
        <v>0</v>
      </c>
      <c r="F350" s="249">
        <f t="shared" si="17"/>
        <v>0</v>
      </c>
    </row>
    <row r="351" spans="1:6" ht="29.25" x14ac:dyDescent="0.25">
      <c r="A351" s="218">
        <f t="shared" si="16"/>
        <v>7</v>
      </c>
      <c r="B351" s="56" t="s">
        <v>26</v>
      </c>
      <c r="C351" s="218" t="s">
        <v>18</v>
      </c>
      <c r="D351" s="31">
        <v>244</v>
      </c>
      <c r="E351" s="59">
        <v>7630</v>
      </c>
      <c r="F351" s="249">
        <f t="shared" si="17"/>
        <v>1861720</v>
      </c>
    </row>
    <row r="352" spans="1:6" ht="72" x14ac:dyDescent="0.25">
      <c r="A352" s="218">
        <f t="shared" si="16"/>
        <v>8</v>
      </c>
      <c r="B352" s="17" t="s">
        <v>27</v>
      </c>
      <c r="C352" s="218" t="s">
        <v>64</v>
      </c>
      <c r="D352" s="31">
        <v>18</v>
      </c>
      <c r="E352" s="59">
        <v>83312</v>
      </c>
      <c r="F352" s="249">
        <f t="shared" si="17"/>
        <v>1499616</v>
      </c>
    </row>
    <row r="353" spans="1:6" x14ac:dyDescent="0.25">
      <c r="A353" s="218">
        <f t="shared" si="16"/>
        <v>9</v>
      </c>
      <c r="B353" s="18" t="s">
        <v>28</v>
      </c>
      <c r="C353" s="20"/>
      <c r="D353" s="20"/>
      <c r="E353" s="59">
        <v>0</v>
      </c>
      <c r="F353" s="249">
        <f t="shared" si="17"/>
        <v>0</v>
      </c>
    </row>
    <row r="354" spans="1:6" ht="29.25" x14ac:dyDescent="0.25">
      <c r="A354" s="218">
        <f t="shared" si="16"/>
        <v>10</v>
      </c>
      <c r="B354" s="17" t="s">
        <v>29</v>
      </c>
      <c r="C354" s="218" t="s">
        <v>64</v>
      </c>
      <c r="D354" s="31">
        <v>180</v>
      </c>
      <c r="E354" s="59">
        <v>26317</v>
      </c>
      <c r="F354" s="249">
        <f t="shared" si="17"/>
        <v>4737060</v>
      </c>
    </row>
    <row r="355" spans="1:6" ht="29.25" x14ac:dyDescent="0.25">
      <c r="A355" s="218">
        <f t="shared" si="16"/>
        <v>11</v>
      </c>
      <c r="B355" s="17" t="s">
        <v>31</v>
      </c>
      <c r="C355" s="218" t="s">
        <v>18</v>
      </c>
      <c r="D355" s="31">
        <v>44</v>
      </c>
      <c r="E355" s="59">
        <v>31128</v>
      </c>
      <c r="F355" s="249">
        <f t="shared" si="17"/>
        <v>1369632</v>
      </c>
    </row>
    <row r="356" spans="1:6" ht="43.5" x14ac:dyDescent="0.25">
      <c r="A356" s="218">
        <f t="shared" si="16"/>
        <v>12</v>
      </c>
      <c r="B356" s="17" t="s">
        <v>32</v>
      </c>
      <c r="C356" s="218" t="s">
        <v>64</v>
      </c>
      <c r="D356" s="31">
        <v>62</v>
      </c>
      <c r="E356" s="59">
        <v>32749</v>
      </c>
      <c r="F356" s="249">
        <f t="shared" si="17"/>
        <v>2030438</v>
      </c>
    </row>
    <row r="357" spans="1:6" ht="30" x14ac:dyDescent="0.25">
      <c r="A357" s="218">
        <f t="shared" si="16"/>
        <v>13</v>
      </c>
      <c r="B357" s="188" t="s">
        <v>33</v>
      </c>
      <c r="C357" s="20"/>
      <c r="D357" s="20"/>
      <c r="E357" s="242">
        <v>0</v>
      </c>
      <c r="F357" s="249">
        <f t="shared" si="17"/>
        <v>0</v>
      </c>
    </row>
    <row r="358" spans="1:6" ht="29.25" x14ac:dyDescent="0.25">
      <c r="A358" s="218">
        <f t="shared" si="16"/>
        <v>14</v>
      </c>
      <c r="B358" s="17" t="s">
        <v>99</v>
      </c>
      <c r="C358" s="218" t="s">
        <v>18</v>
      </c>
      <c r="D358" s="31">
        <v>72</v>
      </c>
      <c r="E358" s="59">
        <v>27734</v>
      </c>
      <c r="F358" s="249">
        <f t="shared" si="17"/>
        <v>1996848</v>
      </c>
    </row>
    <row r="359" spans="1:6" ht="85.5" x14ac:dyDescent="0.25">
      <c r="A359" s="218">
        <f t="shared" si="16"/>
        <v>15</v>
      </c>
      <c r="B359" s="57" t="s">
        <v>35</v>
      </c>
      <c r="C359" s="218" t="s">
        <v>18</v>
      </c>
      <c r="D359" s="31">
        <v>1.8</v>
      </c>
      <c r="E359" s="59">
        <v>637411</v>
      </c>
      <c r="F359" s="249">
        <f t="shared" si="17"/>
        <v>1147340</v>
      </c>
    </row>
    <row r="360" spans="1:6" ht="86.25" x14ac:dyDescent="0.25">
      <c r="A360" s="218">
        <f t="shared" si="16"/>
        <v>16</v>
      </c>
      <c r="B360" s="17" t="s">
        <v>100</v>
      </c>
      <c r="C360" s="218" t="s">
        <v>37</v>
      </c>
      <c r="D360" s="31">
        <v>1</v>
      </c>
      <c r="E360" s="59">
        <v>777600</v>
      </c>
      <c r="F360" s="249">
        <f t="shared" si="17"/>
        <v>777600</v>
      </c>
    </row>
    <row r="361" spans="1:6" x14ac:dyDescent="0.25">
      <c r="A361" s="218">
        <f t="shared" si="16"/>
        <v>17</v>
      </c>
      <c r="B361" s="55" t="s">
        <v>38</v>
      </c>
      <c r="C361" s="218" t="s">
        <v>37</v>
      </c>
      <c r="D361" s="31">
        <v>2</v>
      </c>
      <c r="E361" s="59">
        <v>540447</v>
      </c>
      <c r="F361" s="249">
        <f t="shared" si="17"/>
        <v>1080894</v>
      </c>
    </row>
    <row r="362" spans="1:6" ht="43.5" x14ac:dyDescent="0.25">
      <c r="A362" s="218">
        <f t="shared" si="16"/>
        <v>18</v>
      </c>
      <c r="B362" s="17" t="s">
        <v>39</v>
      </c>
      <c r="C362" s="218" t="s">
        <v>18</v>
      </c>
      <c r="D362" s="31">
        <v>54</v>
      </c>
      <c r="E362" s="59">
        <v>13802</v>
      </c>
      <c r="F362" s="249">
        <f t="shared" si="17"/>
        <v>745308</v>
      </c>
    </row>
    <row r="363" spans="1:6" ht="57.75" x14ac:dyDescent="0.25">
      <c r="A363" s="218">
        <f t="shared" si="16"/>
        <v>19</v>
      </c>
      <c r="B363" s="17" t="s">
        <v>40</v>
      </c>
      <c r="C363" s="218" t="s">
        <v>23</v>
      </c>
      <c r="D363" s="31">
        <v>10</v>
      </c>
      <c r="E363" s="59">
        <v>399818</v>
      </c>
      <c r="F363" s="249">
        <f t="shared" si="17"/>
        <v>3998180</v>
      </c>
    </row>
    <row r="364" spans="1:6" ht="29.25" x14ac:dyDescent="0.25">
      <c r="A364" s="218">
        <f t="shared" si="16"/>
        <v>20</v>
      </c>
      <c r="B364" s="17" t="s">
        <v>101</v>
      </c>
      <c r="C364" s="218" t="s">
        <v>23</v>
      </c>
      <c r="D364" s="31">
        <v>10</v>
      </c>
      <c r="E364" s="59">
        <v>43482</v>
      </c>
      <c r="F364" s="249">
        <f t="shared" si="17"/>
        <v>434820</v>
      </c>
    </row>
    <row r="365" spans="1:6" x14ac:dyDescent="0.25">
      <c r="A365" s="218">
        <f t="shared" si="16"/>
        <v>21</v>
      </c>
      <c r="B365" s="55" t="s">
        <v>42</v>
      </c>
      <c r="C365" s="218" t="s">
        <v>23</v>
      </c>
      <c r="D365" s="31">
        <v>2</v>
      </c>
      <c r="E365" s="59">
        <v>90312</v>
      </c>
      <c r="F365" s="249">
        <f t="shared" si="17"/>
        <v>180624</v>
      </c>
    </row>
    <row r="366" spans="1:6" x14ac:dyDescent="0.25">
      <c r="A366" s="218">
        <f t="shared" si="16"/>
        <v>22</v>
      </c>
      <c r="B366" s="18" t="s">
        <v>43</v>
      </c>
      <c r="C366" s="20"/>
      <c r="D366" s="20"/>
      <c r="E366" s="59">
        <v>0</v>
      </c>
      <c r="F366" s="249">
        <f t="shared" si="17"/>
        <v>0</v>
      </c>
    </row>
    <row r="367" spans="1:6" ht="29.25" x14ac:dyDescent="0.25">
      <c r="A367" s="218">
        <f t="shared" si="16"/>
        <v>23</v>
      </c>
      <c r="B367" s="17" t="s">
        <v>44</v>
      </c>
      <c r="C367" s="218" t="s">
        <v>64</v>
      </c>
      <c r="D367" s="31">
        <v>12</v>
      </c>
      <c r="E367" s="59">
        <v>120657</v>
      </c>
      <c r="F367" s="249">
        <f t="shared" si="17"/>
        <v>1447884</v>
      </c>
    </row>
    <row r="368" spans="1:6" ht="29.25" x14ac:dyDescent="0.25">
      <c r="A368" s="218">
        <f t="shared" si="16"/>
        <v>24</v>
      </c>
      <c r="B368" s="17" t="s">
        <v>45</v>
      </c>
      <c r="C368" s="218" t="s">
        <v>64</v>
      </c>
      <c r="D368" s="31">
        <v>136</v>
      </c>
      <c r="E368" s="59">
        <v>22131</v>
      </c>
      <c r="F368" s="249">
        <f t="shared" si="17"/>
        <v>3009816</v>
      </c>
    </row>
    <row r="369" spans="1:11" ht="29.25" x14ac:dyDescent="0.25">
      <c r="A369" s="218">
        <f t="shared" si="16"/>
        <v>25</v>
      </c>
      <c r="B369" s="17" t="s">
        <v>152</v>
      </c>
      <c r="C369" s="218" t="s">
        <v>64</v>
      </c>
      <c r="D369" s="31">
        <v>25</v>
      </c>
      <c r="E369" s="59">
        <v>144847</v>
      </c>
      <c r="F369" s="249">
        <f t="shared" si="17"/>
        <v>3621175</v>
      </c>
    </row>
    <row r="370" spans="1:11" x14ac:dyDescent="0.25">
      <c r="A370" s="218">
        <f t="shared" si="16"/>
        <v>26</v>
      </c>
      <c r="B370" s="18" t="s">
        <v>48</v>
      </c>
      <c r="C370" s="20"/>
      <c r="D370" s="20"/>
      <c r="E370" s="59">
        <v>0</v>
      </c>
      <c r="F370" s="249">
        <f t="shared" si="17"/>
        <v>0</v>
      </c>
    </row>
    <row r="371" spans="1:11" ht="43.5" x14ac:dyDescent="0.25">
      <c r="A371" s="218">
        <f t="shared" si="16"/>
        <v>27</v>
      </c>
      <c r="B371" s="17" t="s">
        <v>49</v>
      </c>
      <c r="C371" s="218" t="s">
        <v>64</v>
      </c>
      <c r="D371" s="31">
        <v>0.5</v>
      </c>
      <c r="E371" s="59">
        <v>605480</v>
      </c>
      <c r="F371" s="249">
        <f t="shared" si="17"/>
        <v>302740</v>
      </c>
    </row>
    <row r="372" spans="1:11" ht="43.5" x14ac:dyDescent="0.25">
      <c r="A372" s="218">
        <f t="shared" si="16"/>
        <v>28</v>
      </c>
      <c r="B372" s="17" t="s">
        <v>50</v>
      </c>
      <c r="C372" s="218" t="s">
        <v>64</v>
      </c>
      <c r="D372" s="31">
        <v>18</v>
      </c>
      <c r="E372" s="59">
        <v>822268</v>
      </c>
      <c r="F372" s="249">
        <f t="shared" si="17"/>
        <v>14800824</v>
      </c>
    </row>
    <row r="373" spans="1:11" x14ac:dyDescent="0.25">
      <c r="A373" s="218">
        <f t="shared" si="16"/>
        <v>29</v>
      </c>
      <c r="B373" s="18" t="s">
        <v>51</v>
      </c>
      <c r="C373" s="20"/>
      <c r="D373" s="20"/>
      <c r="E373" s="59">
        <v>0</v>
      </c>
      <c r="F373" s="249">
        <f t="shared" si="17"/>
        <v>0</v>
      </c>
    </row>
    <row r="374" spans="1:11" ht="29.25" x14ac:dyDescent="0.25">
      <c r="A374" s="218">
        <f t="shared" si="16"/>
        <v>30</v>
      </c>
      <c r="B374" s="17" t="s">
        <v>52</v>
      </c>
      <c r="C374" s="218" t="s">
        <v>53</v>
      </c>
      <c r="D374" s="31">
        <v>36</v>
      </c>
      <c r="E374" s="59">
        <v>5922</v>
      </c>
      <c r="F374" s="249">
        <f t="shared" si="17"/>
        <v>213192</v>
      </c>
      <c r="K374" s="80"/>
    </row>
    <row r="375" spans="1:11" x14ac:dyDescent="0.25">
      <c r="A375" s="216"/>
      <c r="B375" s="18" t="s">
        <v>56</v>
      </c>
      <c r="C375" s="54"/>
      <c r="D375" s="130"/>
      <c r="E375" s="28"/>
      <c r="F375" s="28">
        <f>ROUND((F374+F373+F372+F371+F370+F369+F368+F367+F366+F365+F364+F363+F362+F361+F360+F359+F358+F357+F356+F355+F354+F353+F352+F351+F350+F349+F348+F347+F346+F345),0)</f>
        <v>51972969</v>
      </c>
    </row>
    <row r="376" spans="1:11" x14ac:dyDescent="0.25">
      <c r="A376" s="19"/>
      <c r="B376" s="19" t="s">
        <v>60</v>
      </c>
      <c r="C376" s="19"/>
      <c r="D376" s="19"/>
      <c r="E376" s="19"/>
      <c r="F376" s="29">
        <f>ROUND(F375/1.3495,0)</f>
        <v>38512760</v>
      </c>
    </row>
    <row r="377" spans="1:11" x14ac:dyDescent="0.25">
      <c r="A377" s="19"/>
      <c r="B377" s="19" t="s">
        <v>61</v>
      </c>
      <c r="C377" s="131">
        <v>0.24</v>
      </c>
      <c r="D377" s="19"/>
      <c r="E377" s="19"/>
      <c r="F377" s="29">
        <f>ROUND(F376*C377,0)</f>
        <v>9243062</v>
      </c>
    </row>
    <row r="378" spans="1:11" x14ac:dyDescent="0.25">
      <c r="A378" s="19"/>
      <c r="B378" s="19" t="s">
        <v>57</v>
      </c>
      <c r="C378" s="131">
        <v>0.05</v>
      </c>
      <c r="D378" s="19"/>
      <c r="E378" s="19"/>
      <c r="F378" s="29">
        <f>ROUND(F376*C378,0)</f>
        <v>1925638</v>
      </c>
    </row>
    <row r="379" spans="1:11" x14ac:dyDescent="0.25">
      <c r="A379" s="19"/>
      <c r="B379" s="19" t="s">
        <v>62</v>
      </c>
      <c r="C379" s="131">
        <v>0.05</v>
      </c>
      <c r="D379" s="19"/>
      <c r="E379" s="19"/>
      <c r="F379" s="29">
        <f>ROUND(F376*C379,0)</f>
        <v>1925638</v>
      </c>
    </row>
    <row r="380" spans="1:11" ht="29.25" x14ac:dyDescent="0.25">
      <c r="A380" s="19"/>
      <c r="B380" s="13" t="s">
        <v>63</v>
      </c>
      <c r="C380" s="133">
        <v>0.19</v>
      </c>
      <c r="D380" s="120"/>
      <c r="E380" s="120"/>
      <c r="F380" s="35">
        <f>ROUND(F379*19%,0)</f>
        <v>365871</v>
      </c>
    </row>
    <row r="381" spans="1:11" x14ac:dyDescent="0.25">
      <c r="A381" s="19"/>
      <c r="B381" s="18" t="s">
        <v>56</v>
      </c>
      <c r="C381" s="19"/>
      <c r="D381" s="19"/>
      <c r="E381" s="19"/>
      <c r="F381" s="30">
        <f>SUM(F376:F380)</f>
        <v>51972969</v>
      </c>
    </row>
    <row r="383" spans="1:11" ht="34.5" customHeight="1" x14ac:dyDescent="0.25">
      <c r="A383" s="431" t="s">
        <v>155</v>
      </c>
      <c r="B383" s="432"/>
      <c r="C383" s="432"/>
      <c r="D383" s="432"/>
      <c r="E383" s="432"/>
      <c r="F383" s="433"/>
    </row>
    <row r="384" spans="1:11" x14ac:dyDescent="0.25">
      <c r="A384" s="420" t="s">
        <v>10</v>
      </c>
      <c r="B384" s="420" t="s">
        <v>0</v>
      </c>
      <c r="C384" s="420" t="s">
        <v>11</v>
      </c>
      <c r="D384" s="420" t="s">
        <v>12</v>
      </c>
      <c r="E384" s="420"/>
      <c r="F384" s="420"/>
    </row>
    <row r="385" spans="1:6" x14ac:dyDescent="0.25">
      <c r="A385" s="420"/>
      <c r="B385" s="420"/>
      <c r="C385" s="420"/>
      <c r="D385" s="54" t="s">
        <v>13</v>
      </c>
      <c r="E385" s="54" t="s">
        <v>14</v>
      </c>
      <c r="F385" s="54" t="s">
        <v>15</v>
      </c>
    </row>
    <row r="386" spans="1:6" x14ac:dyDescent="0.25">
      <c r="A386" s="218">
        <f t="shared" ref="A386:A416" si="18">A385+1</f>
        <v>1</v>
      </c>
      <c r="B386" s="18" t="s">
        <v>16</v>
      </c>
      <c r="C386" s="420"/>
      <c r="D386" s="420"/>
      <c r="E386" s="420"/>
      <c r="F386" s="20"/>
    </row>
    <row r="387" spans="1:6" ht="29.25" x14ac:dyDescent="0.25">
      <c r="A387" s="218">
        <f t="shared" si="18"/>
        <v>2</v>
      </c>
      <c r="B387" s="17" t="s">
        <v>73</v>
      </c>
      <c r="C387" s="218" t="s">
        <v>18</v>
      </c>
      <c r="D387" s="31">
        <v>84</v>
      </c>
      <c r="E387" s="59">
        <v>5214</v>
      </c>
      <c r="F387" s="249">
        <f t="shared" ref="F387:F395" si="19">ROUND(D387*E387,0)</f>
        <v>437976</v>
      </c>
    </row>
    <row r="388" spans="1:6" ht="29.25" x14ac:dyDescent="0.25">
      <c r="A388" s="218">
        <f t="shared" si="18"/>
        <v>3</v>
      </c>
      <c r="B388" s="17" t="s">
        <v>19</v>
      </c>
      <c r="C388" s="218" t="s">
        <v>20</v>
      </c>
      <c r="D388" s="31">
        <v>504</v>
      </c>
      <c r="E388" s="59">
        <v>9047</v>
      </c>
      <c r="F388" s="249">
        <f t="shared" si="19"/>
        <v>4559688</v>
      </c>
    </row>
    <row r="389" spans="1:6" ht="43.5" x14ac:dyDescent="0.25">
      <c r="A389" s="218">
        <f t="shared" si="18"/>
        <v>4</v>
      </c>
      <c r="B389" s="17" t="s">
        <v>21</v>
      </c>
      <c r="C389" s="218" t="s">
        <v>18</v>
      </c>
      <c r="D389" s="31">
        <v>180</v>
      </c>
      <c r="E389" s="59">
        <v>13608</v>
      </c>
      <c r="F389" s="249">
        <f t="shared" si="19"/>
        <v>2449440</v>
      </c>
    </row>
    <row r="390" spans="1:6" ht="29.25" x14ac:dyDescent="0.25">
      <c r="A390" s="218">
        <f t="shared" si="18"/>
        <v>5</v>
      </c>
      <c r="B390" s="17" t="s">
        <v>22</v>
      </c>
      <c r="C390" s="218" t="s">
        <v>23</v>
      </c>
      <c r="D390" s="31">
        <v>2</v>
      </c>
      <c r="E390" s="59">
        <v>155349</v>
      </c>
      <c r="F390" s="249">
        <f t="shared" si="19"/>
        <v>310698</v>
      </c>
    </row>
    <row r="391" spans="1:6" x14ac:dyDescent="0.25">
      <c r="A391" s="218">
        <f t="shared" si="18"/>
        <v>6</v>
      </c>
      <c r="B391" s="18" t="s">
        <v>25</v>
      </c>
      <c r="C391" s="20"/>
      <c r="D391" s="20"/>
      <c r="E391" s="59">
        <v>0</v>
      </c>
      <c r="F391" s="249">
        <f t="shared" si="19"/>
        <v>0</v>
      </c>
    </row>
    <row r="392" spans="1:6" ht="29.25" x14ac:dyDescent="0.25">
      <c r="A392" s="218">
        <f t="shared" si="18"/>
        <v>7</v>
      </c>
      <c r="B392" s="56" t="s">
        <v>26</v>
      </c>
      <c r="C392" s="218" t="s">
        <v>18</v>
      </c>
      <c r="D392" s="31">
        <v>288</v>
      </c>
      <c r="E392" s="59">
        <v>7630</v>
      </c>
      <c r="F392" s="249">
        <f t="shared" si="19"/>
        <v>2197440</v>
      </c>
    </row>
    <row r="393" spans="1:6" ht="72" x14ac:dyDescent="0.25">
      <c r="A393" s="218">
        <f t="shared" si="18"/>
        <v>8</v>
      </c>
      <c r="B393" s="17" t="s">
        <v>27</v>
      </c>
      <c r="C393" s="218" t="s">
        <v>64</v>
      </c>
      <c r="D393" s="31">
        <v>22</v>
      </c>
      <c r="E393" s="59">
        <v>83312</v>
      </c>
      <c r="F393" s="249">
        <f t="shared" si="19"/>
        <v>1832864</v>
      </c>
    </row>
    <row r="394" spans="1:6" x14ac:dyDescent="0.25">
      <c r="A394" s="218">
        <f t="shared" si="18"/>
        <v>9</v>
      </c>
      <c r="B394" s="18" t="s">
        <v>28</v>
      </c>
      <c r="C394" s="20"/>
      <c r="D394" s="20"/>
      <c r="E394" s="242">
        <v>0</v>
      </c>
      <c r="F394" s="249">
        <f t="shared" si="19"/>
        <v>0</v>
      </c>
    </row>
    <row r="395" spans="1:6" ht="28.5" x14ac:dyDescent="0.25">
      <c r="A395" s="218">
        <f t="shared" si="18"/>
        <v>10</v>
      </c>
      <c r="B395" s="9" t="s">
        <v>29</v>
      </c>
      <c r="C395" s="218" t="s">
        <v>64</v>
      </c>
      <c r="D395" s="31">
        <v>196</v>
      </c>
      <c r="E395" s="59">
        <v>26317</v>
      </c>
      <c r="F395" s="249">
        <f t="shared" si="19"/>
        <v>5158132</v>
      </c>
    </row>
    <row r="396" spans="1:6" x14ac:dyDescent="0.25">
      <c r="A396" s="218">
        <f t="shared" si="18"/>
        <v>11</v>
      </c>
      <c r="B396" s="266" t="s">
        <v>156</v>
      </c>
      <c r="C396" s="218" t="s">
        <v>64</v>
      </c>
      <c r="D396" s="31">
        <v>38</v>
      </c>
      <c r="E396" s="59">
        <v>29124</v>
      </c>
      <c r="F396" s="249">
        <f t="shared" ref="F396:F416" si="20">ROUND(D396*E396,0)</f>
        <v>1106712</v>
      </c>
    </row>
    <row r="397" spans="1:6" ht="28.5" x14ac:dyDescent="0.25">
      <c r="A397" s="218">
        <f t="shared" si="18"/>
        <v>12</v>
      </c>
      <c r="B397" s="9" t="s">
        <v>31</v>
      </c>
      <c r="C397" s="218" t="s">
        <v>18</v>
      </c>
      <c r="D397" s="31">
        <v>10</v>
      </c>
      <c r="E397" s="59">
        <v>31128</v>
      </c>
      <c r="F397" s="249">
        <f t="shared" si="20"/>
        <v>311280</v>
      </c>
    </row>
    <row r="398" spans="1:6" ht="42.75" x14ac:dyDescent="0.25">
      <c r="A398" s="218">
        <f t="shared" si="18"/>
        <v>13</v>
      </c>
      <c r="B398" s="9" t="s">
        <v>32</v>
      </c>
      <c r="C398" s="218" t="s">
        <v>64</v>
      </c>
      <c r="D398" s="31">
        <v>72</v>
      </c>
      <c r="E398" s="59">
        <v>32749</v>
      </c>
      <c r="F398" s="249">
        <f t="shared" si="20"/>
        <v>2357928</v>
      </c>
    </row>
    <row r="399" spans="1:6" ht="30" x14ac:dyDescent="0.25">
      <c r="A399" s="218">
        <f t="shared" si="18"/>
        <v>14</v>
      </c>
      <c r="B399" s="267" t="s">
        <v>33</v>
      </c>
      <c r="C399" s="20"/>
      <c r="D399" s="20"/>
      <c r="E399" s="59">
        <v>0</v>
      </c>
      <c r="F399" s="249">
        <f t="shared" si="20"/>
        <v>0</v>
      </c>
    </row>
    <row r="400" spans="1:6" ht="28.5" x14ac:dyDescent="0.25">
      <c r="A400" s="218">
        <f t="shared" si="18"/>
        <v>15</v>
      </c>
      <c r="B400" s="9" t="s">
        <v>66</v>
      </c>
      <c r="C400" s="218" t="s">
        <v>18</v>
      </c>
      <c r="D400" s="31">
        <v>84</v>
      </c>
      <c r="E400" s="59">
        <v>23781</v>
      </c>
      <c r="F400" s="249">
        <f t="shared" si="20"/>
        <v>1997604</v>
      </c>
    </row>
    <row r="401" spans="1:6" ht="85.5" x14ac:dyDescent="0.25">
      <c r="A401" s="218">
        <f t="shared" si="18"/>
        <v>16</v>
      </c>
      <c r="B401" s="57" t="s">
        <v>35</v>
      </c>
      <c r="C401" s="218" t="s">
        <v>18</v>
      </c>
      <c r="D401" s="31">
        <v>4.5</v>
      </c>
      <c r="E401" s="59">
        <v>637411</v>
      </c>
      <c r="F401" s="249">
        <f t="shared" si="20"/>
        <v>2868350</v>
      </c>
    </row>
    <row r="402" spans="1:6" ht="85.5" x14ac:dyDescent="0.25">
      <c r="A402" s="218">
        <f t="shared" si="18"/>
        <v>17</v>
      </c>
      <c r="B402" s="9" t="s">
        <v>100</v>
      </c>
      <c r="C402" s="218" t="s">
        <v>37</v>
      </c>
      <c r="D402" s="31">
        <v>3</v>
      </c>
      <c r="E402" s="59">
        <v>777600</v>
      </c>
      <c r="F402" s="249">
        <f t="shared" si="20"/>
        <v>2332800</v>
      </c>
    </row>
    <row r="403" spans="1:6" x14ac:dyDescent="0.25">
      <c r="A403" s="218">
        <f t="shared" si="18"/>
        <v>18</v>
      </c>
      <c r="B403" s="266" t="s">
        <v>38</v>
      </c>
      <c r="C403" s="218" t="s">
        <v>37</v>
      </c>
      <c r="D403" s="31">
        <v>3</v>
      </c>
      <c r="E403" s="59">
        <v>540447</v>
      </c>
      <c r="F403" s="249">
        <f t="shared" si="20"/>
        <v>1621341</v>
      </c>
    </row>
    <row r="404" spans="1:6" ht="42.75" x14ac:dyDescent="0.25">
      <c r="A404" s="218">
        <f t="shared" si="18"/>
        <v>19</v>
      </c>
      <c r="B404" s="9" t="s">
        <v>39</v>
      </c>
      <c r="C404" s="218" t="s">
        <v>18</v>
      </c>
      <c r="D404" s="31">
        <v>60</v>
      </c>
      <c r="E404" s="59">
        <v>13802</v>
      </c>
      <c r="F404" s="249">
        <f t="shared" si="20"/>
        <v>828120</v>
      </c>
    </row>
    <row r="405" spans="1:6" ht="57" x14ac:dyDescent="0.25">
      <c r="A405" s="218">
        <f t="shared" si="18"/>
        <v>20</v>
      </c>
      <c r="B405" s="9" t="s">
        <v>40</v>
      </c>
      <c r="C405" s="218" t="s">
        <v>23</v>
      </c>
      <c r="D405" s="31">
        <v>12</v>
      </c>
      <c r="E405" s="59">
        <v>399818</v>
      </c>
      <c r="F405" s="249">
        <f t="shared" si="20"/>
        <v>4797816</v>
      </c>
    </row>
    <row r="406" spans="1:6" ht="28.5" x14ac:dyDescent="0.25">
      <c r="A406" s="218">
        <f t="shared" si="18"/>
        <v>21</v>
      </c>
      <c r="B406" s="9" t="s">
        <v>67</v>
      </c>
      <c r="C406" s="218" t="s">
        <v>23</v>
      </c>
      <c r="D406" s="31">
        <v>12</v>
      </c>
      <c r="E406" s="59">
        <v>43482</v>
      </c>
      <c r="F406" s="249">
        <f t="shared" si="20"/>
        <v>521784</v>
      </c>
    </row>
    <row r="407" spans="1:6" x14ac:dyDescent="0.25">
      <c r="A407" s="218">
        <f t="shared" si="18"/>
        <v>22</v>
      </c>
      <c r="B407" s="266" t="s">
        <v>42</v>
      </c>
      <c r="C407" s="218" t="s">
        <v>23</v>
      </c>
      <c r="D407" s="31">
        <v>2</v>
      </c>
      <c r="E407" s="59">
        <v>90312</v>
      </c>
      <c r="F407" s="249">
        <f t="shared" si="20"/>
        <v>180624</v>
      </c>
    </row>
    <row r="408" spans="1:6" x14ac:dyDescent="0.25">
      <c r="A408" s="218">
        <f t="shared" si="18"/>
        <v>23</v>
      </c>
      <c r="B408" s="268" t="s">
        <v>43</v>
      </c>
      <c r="C408" s="20"/>
      <c r="D408" s="20"/>
      <c r="E408" s="59">
        <v>0</v>
      </c>
      <c r="F408" s="249">
        <f t="shared" si="20"/>
        <v>0</v>
      </c>
    </row>
    <row r="409" spans="1:6" ht="28.5" x14ac:dyDescent="0.25">
      <c r="A409" s="218">
        <f t="shared" si="18"/>
        <v>24</v>
      </c>
      <c r="B409" s="9" t="s">
        <v>44</v>
      </c>
      <c r="C409" s="218" t="s">
        <v>64</v>
      </c>
      <c r="D409" s="31">
        <v>14</v>
      </c>
      <c r="E409" s="59">
        <v>120657</v>
      </c>
      <c r="F409" s="249">
        <f t="shared" si="20"/>
        <v>1689198</v>
      </c>
    </row>
    <row r="410" spans="1:6" ht="28.5" x14ac:dyDescent="0.25">
      <c r="A410" s="218">
        <f t="shared" si="18"/>
        <v>25</v>
      </c>
      <c r="B410" s="9" t="s">
        <v>45</v>
      </c>
      <c r="C410" s="218" t="s">
        <v>64</v>
      </c>
      <c r="D410" s="31">
        <v>183</v>
      </c>
      <c r="E410" s="59">
        <v>22131</v>
      </c>
      <c r="F410" s="249">
        <f t="shared" si="20"/>
        <v>4049973</v>
      </c>
    </row>
    <row r="411" spans="1:6" ht="28.5" x14ac:dyDescent="0.25">
      <c r="A411" s="218">
        <f t="shared" si="18"/>
        <v>26</v>
      </c>
      <c r="B411" s="9" t="s">
        <v>152</v>
      </c>
      <c r="C411" s="218" t="s">
        <v>64</v>
      </c>
      <c r="D411" s="31">
        <v>29</v>
      </c>
      <c r="E411" s="59">
        <v>144847</v>
      </c>
      <c r="F411" s="249">
        <f t="shared" si="20"/>
        <v>4200563</v>
      </c>
    </row>
    <row r="412" spans="1:6" x14ac:dyDescent="0.25">
      <c r="A412" s="218">
        <f t="shared" si="18"/>
        <v>27</v>
      </c>
      <c r="B412" s="268" t="s">
        <v>48</v>
      </c>
      <c r="C412" s="20"/>
      <c r="D412" s="20"/>
      <c r="E412" s="59">
        <v>0</v>
      </c>
      <c r="F412" s="249">
        <f>ROUND(D412*E412,0)</f>
        <v>0</v>
      </c>
    </row>
    <row r="413" spans="1:6" ht="42.75" x14ac:dyDescent="0.25">
      <c r="A413" s="218">
        <f t="shared" si="18"/>
        <v>28</v>
      </c>
      <c r="B413" s="9" t="s">
        <v>49</v>
      </c>
      <c r="C413" s="218" t="s">
        <v>64</v>
      </c>
      <c r="D413" s="31">
        <v>1</v>
      </c>
      <c r="E413" s="59">
        <v>605480</v>
      </c>
      <c r="F413" s="249">
        <f t="shared" si="20"/>
        <v>605480</v>
      </c>
    </row>
    <row r="414" spans="1:6" ht="42.75" x14ac:dyDescent="0.25">
      <c r="A414" s="218">
        <f t="shared" si="18"/>
        <v>29</v>
      </c>
      <c r="B414" s="9" t="s">
        <v>50</v>
      </c>
      <c r="C414" s="218" t="s">
        <v>64</v>
      </c>
      <c r="D414" s="31">
        <v>22</v>
      </c>
      <c r="E414" s="59">
        <v>822268</v>
      </c>
      <c r="F414" s="249">
        <f t="shared" si="20"/>
        <v>18089896</v>
      </c>
    </row>
    <row r="415" spans="1:6" x14ac:dyDescent="0.25">
      <c r="A415" s="218">
        <f t="shared" si="18"/>
        <v>30</v>
      </c>
      <c r="B415" s="268" t="s">
        <v>51</v>
      </c>
      <c r="C415" s="20"/>
      <c r="D415" s="20"/>
      <c r="E415" s="59">
        <v>0</v>
      </c>
      <c r="F415" s="249">
        <f t="shared" si="20"/>
        <v>0</v>
      </c>
    </row>
    <row r="416" spans="1:6" ht="28.5" x14ac:dyDescent="0.25">
      <c r="A416" s="218">
        <f t="shared" si="18"/>
        <v>31</v>
      </c>
      <c r="B416" s="9" t="s">
        <v>52</v>
      </c>
      <c r="C416" s="218" t="s">
        <v>53</v>
      </c>
      <c r="D416" s="31">
        <v>36</v>
      </c>
      <c r="E416" s="59">
        <v>5922</v>
      </c>
      <c r="F416" s="249">
        <f t="shared" si="20"/>
        <v>213192</v>
      </c>
    </row>
    <row r="417" spans="1:6" x14ac:dyDescent="0.25">
      <c r="A417" s="216"/>
      <c r="B417" s="18" t="s">
        <v>56</v>
      </c>
      <c r="C417" s="54"/>
      <c r="D417" s="130"/>
      <c r="E417" s="28"/>
      <c r="F417" s="28">
        <f>ROUND((F416+F415+F414+F413+F412+F411+F410+F409+F408+F407+F406+F405+F404+F403+F402+F401+F400+F399+F398+F397+F396+F395+F394+F393+F392+F391+F390+F389+F388+F387),0)</f>
        <v>64718899</v>
      </c>
    </row>
    <row r="418" spans="1:6" x14ac:dyDescent="0.25">
      <c r="A418" s="19"/>
      <c r="B418" s="19" t="s">
        <v>60</v>
      </c>
      <c r="C418" s="19"/>
      <c r="D418" s="19"/>
      <c r="E418" s="19"/>
      <c r="F418" s="29">
        <f>ROUND(F417/1.3495,0)</f>
        <v>47957687</v>
      </c>
    </row>
    <row r="419" spans="1:6" x14ac:dyDescent="0.25">
      <c r="A419" s="19"/>
      <c r="B419" s="19" t="s">
        <v>61</v>
      </c>
      <c r="C419" s="131">
        <v>0.24</v>
      </c>
      <c r="D419" s="19"/>
      <c r="E419" s="19"/>
      <c r="F419" s="29">
        <f>ROUND(F418*C419,0)</f>
        <v>11509845</v>
      </c>
    </row>
    <row r="420" spans="1:6" x14ac:dyDescent="0.25">
      <c r="A420" s="19"/>
      <c r="B420" s="19" t="s">
        <v>57</v>
      </c>
      <c r="C420" s="131">
        <v>0.05</v>
      </c>
      <c r="D420" s="19"/>
      <c r="E420" s="19"/>
      <c r="F420" s="29">
        <f>ROUND(F418*C420,0)</f>
        <v>2397884</v>
      </c>
    </row>
    <row r="421" spans="1:6" x14ac:dyDescent="0.25">
      <c r="A421" s="19"/>
      <c r="B421" s="19" t="s">
        <v>62</v>
      </c>
      <c r="C421" s="131">
        <v>0.05</v>
      </c>
      <c r="D421" s="19"/>
      <c r="E421" s="19"/>
      <c r="F421" s="29">
        <f>ROUND(F418*C421,0)</f>
        <v>2397884</v>
      </c>
    </row>
    <row r="422" spans="1:6" ht="29.25" x14ac:dyDescent="0.25">
      <c r="A422" s="19"/>
      <c r="B422" s="13" t="s">
        <v>63</v>
      </c>
      <c r="C422" s="133">
        <v>0.19</v>
      </c>
      <c r="D422" s="120"/>
      <c r="E422" s="120"/>
      <c r="F422" s="35">
        <f>ROUND(F421*19%,0)</f>
        <v>455598</v>
      </c>
    </row>
    <row r="423" spans="1:6" x14ac:dyDescent="0.25">
      <c r="A423" s="19"/>
      <c r="B423" s="18" t="s">
        <v>56</v>
      </c>
      <c r="C423" s="19"/>
      <c r="D423" s="19"/>
      <c r="E423" s="19"/>
      <c r="F423" s="30">
        <f>SUM(F418:F422)</f>
        <v>64718898</v>
      </c>
    </row>
    <row r="425" spans="1:6" x14ac:dyDescent="0.25">
      <c r="A425" s="434" t="s">
        <v>157</v>
      </c>
      <c r="B425" s="434"/>
      <c r="C425" s="434"/>
      <c r="D425" s="434"/>
      <c r="E425" s="434"/>
      <c r="F425" s="434"/>
    </row>
    <row r="426" spans="1:6" x14ac:dyDescent="0.25">
      <c r="A426" s="256" t="s">
        <v>10</v>
      </c>
      <c r="B426" s="256" t="s">
        <v>0</v>
      </c>
      <c r="C426" s="256" t="s">
        <v>11</v>
      </c>
      <c r="D426" s="435" t="s">
        <v>12</v>
      </c>
      <c r="E426" s="436"/>
      <c r="F426" s="437"/>
    </row>
    <row r="427" spans="1:6" x14ac:dyDescent="0.25">
      <c r="A427" s="256"/>
      <c r="B427" s="256"/>
      <c r="C427" s="256"/>
      <c r="D427" s="256" t="s">
        <v>13</v>
      </c>
      <c r="E427" s="256" t="s">
        <v>14</v>
      </c>
      <c r="F427" s="256" t="s">
        <v>15</v>
      </c>
    </row>
    <row r="428" spans="1:6" x14ac:dyDescent="0.25">
      <c r="A428" s="218">
        <f t="shared" ref="A428:A450" si="21">A427+1</f>
        <v>1</v>
      </c>
      <c r="B428" s="258" t="s">
        <v>16</v>
      </c>
      <c r="C428" s="256"/>
      <c r="D428" s="256"/>
      <c r="E428" s="256"/>
      <c r="F428" s="256"/>
    </row>
    <row r="429" spans="1:6" ht="29.25" x14ac:dyDescent="0.25">
      <c r="A429" s="218">
        <f t="shared" si="21"/>
        <v>2</v>
      </c>
      <c r="B429" s="36" t="s">
        <v>91</v>
      </c>
      <c r="C429" s="261" t="s">
        <v>18</v>
      </c>
      <c r="D429" s="261">
        <v>72</v>
      </c>
      <c r="E429" s="264">
        <v>5230</v>
      </c>
      <c r="F429" s="249">
        <f t="shared" ref="F429:F450" si="22">ROUND(D429*E429,0)</f>
        <v>376560</v>
      </c>
    </row>
    <row r="430" spans="1:6" ht="29.25" x14ac:dyDescent="0.25">
      <c r="A430" s="218">
        <f t="shared" si="21"/>
        <v>3</v>
      </c>
      <c r="B430" s="36" t="s">
        <v>22</v>
      </c>
      <c r="C430" s="261" t="s">
        <v>23</v>
      </c>
      <c r="D430" s="261">
        <v>2</v>
      </c>
      <c r="E430" s="264">
        <v>155814</v>
      </c>
      <c r="F430" s="249">
        <f t="shared" si="22"/>
        <v>311628</v>
      </c>
    </row>
    <row r="431" spans="1:6" ht="57.75" x14ac:dyDescent="0.25">
      <c r="A431" s="218">
        <f t="shared" si="21"/>
        <v>4</v>
      </c>
      <c r="B431" s="36" t="s">
        <v>144</v>
      </c>
      <c r="C431" s="261" t="s">
        <v>18</v>
      </c>
      <c r="D431" s="261">
        <v>120</v>
      </c>
      <c r="E431" s="264">
        <v>6886</v>
      </c>
      <c r="F431" s="249">
        <f t="shared" si="22"/>
        <v>826320</v>
      </c>
    </row>
    <row r="432" spans="1:6" x14ac:dyDescent="0.25">
      <c r="A432" s="218">
        <f t="shared" si="21"/>
        <v>5</v>
      </c>
      <c r="B432" s="258" t="s">
        <v>25</v>
      </c>
      <c r="C432" s="261"/>
      <c r="D432" s="261"/>
      <c r="E432" s="264"/>
      <c r="F432" s="249">
        <f t="shared" si="22"/>
        <v>0</v>
      </c>
    </row>
    <row r="433" spans="1:6" ht="29.25" x14ac:dyDescent="0.25">
      <c r="A433" s="218">
        <f t="shared" si="21"/>
        <v>6</v>
      </c>
      <c r="B433" s="36" t="s">
        <v>26</v>
      </c>
      <c r="C433" s="261" t="s">
        <v>18</v>
      </c>
      <c r="D433" s="261">
        <v>344</v>
      </c>
      <c r="E433" s="264">
        <v>7652</v>
      </c>
      <c r="F433" s="249">
        <f t="shared" si="22"/>
        <v>2632288</v>
      </c>
    </row>
    <row r="434" spans="1:6" ht="72" x14ac:dyDescent="0.25">
      <c r="A434" s="218">
        <f t="shared" si="21"/>
        <v>7</v>
      </c>
      <c r="B434" s="36" t="s">
        <v>78</v>
      </c>
      <c r="C434" s="261" t="s">
        <v>71</v>
      </c>
      <c r="D434" s="261">
        <v>12</v>
      </c>
      <c r="E434" s="264">
        <v>83560</v>
      </c>
      <c r="F434" s="249">
        <f t="shared" si="22"/>
        <v>1002720</v>
      </c>
    </row>
    <row r="435" spans="1:6" x14ac:dyDescent="0.25">
      <c r="A435" s="218">
        <f t="shared" si="21"/>
        <v>8</v>
      </c>
      <c r="B435" s="258" t="s">
        <v>28</v>
      </c>
      <c r="C435" s="256"/>
      <c r="D435" s="256"/>
      <c r="E435" s="265"/>
      <c r="F435" s="249">
        <f t="shared" si="22"/>
        <v>0</v>
      </c>
    </row>
    <row r="436" spans="1:6" ht="29.25" x14ac:dyDescent="0.25">
      <c r="A436" s="218">
        <f t="shared" si="21"/>
        <v>9</v>
      </c>
      <c r="B436" s="36" t="s">
        <v>79</v>
      </c>
      <c r="C436" s="261" t="s">
        <v>71</v>
      </c>
      <c r="D436" s="261">
        <v>42</v>
      </c>
      <c r="E436" s="264">
        <v>26395</v>
      </c>
      <c r="F436" s="249">
        <f t="shared" si="22"/>
        <v>1108590</v>
      </c>
    </row>
    <row r="437" spans="1:6" ht="43.5" x14ac:dyDescent="0.25">
      <c r="A437" s="218">
        <f t="shared" si="21"/>
        <v>10</v>
      </c>
      <c r="B437" s="36" t="s">
        <v>32</v>
      </c>
      <c r="C437" s="261" t="s">
        <v>71</v>
      </c>
      <c r="D437" s="261">
        <v>12</v>
      </c>
      <c r="E437" s="264">
        <v>32848</v>
      </c>
      <c r="F437" s="249">
        <f t="shared" si="22"/>
        <v>394176</v>
      </c>
    </row>
    <row r="438" spans="1:6" ht="30" x14ac:dyDescent="0.25">
      <c r="A438" s="218">
        <f t="shared" si="21"/>
        <v>11</v>
      </c>
      <c r="B438" s="263" t="s">
        <v>80</v>
      </c>
      <c r="C438" s="261"/>
      <c r="D438" s="261"/>
      <c r="E438" s="264"/>
      <c r="F438" s="249">
        <f t="shared" si="22"/>
        <v>0</v>
      </c>
    </row>
    <row r="439" spans="1:6" ht="29.25" x14ac:dyDescent="0.25">
      <c r="A439" s="218">
        <f t="shared" si="21"/>
        <v>12</v>
      </c>
      <c r="B439" s="36" t="s">
        <v>158</v>
      </c>
      <c r="C439" s="261" t="s">
        <v>18</v>
      </c>
      <c r="D439" s="261">
        <v>72</v>
      </c>
      <c r="E439" s="264">
        <v>5945</v>
      </c>
      <c r="F439" s="249">
        <f t="shared" si="22"/>
        <v>428040</v>
      </c>
    </row>
    <row r="440" spans="1:6" ht="57.75" x14ac:dyDescent="0.25">
      <c r="A440" s="218">
        <f t="shared" si="21"/>
        <v>13</v>
      </c>
      <c r="B440" s="36" t="s">
        <v>82</v>
      </c>
      <c r="C440" s="261" t="s">
        <v>37</v>
      </c>
      <c r="D440" s="261">
        <v>12</v>
      </c>
      <c r="E440" s="264">
        <v>42039</v>
      </c>
      <c r="F440" s="249">
        <f t="shared" si="22"/>
        <v>504468</v>
      </c>
    </row>
    <row r="441" spans="1:6" x14ac:dyDescent="0.25">
      <c r="A441" s="218">
        <f t="shared" si="21"/>
        <v>14</v>
      </c>
      <c r="B441" s="256" t="s">
        <v>292</v>
      </c>
      <c r="C441" s="261" t="s">
        <v>37</v>
      </c>
      <c r="D441" s="261">
        <v>1</v>
      </c>
      <c r="E441" s="264">
        <v>210191</v>
      </c>
      <c r="F441" s="249">
        <f t="shared" si="22"/>
        <v>210191</v>
      </c>
    </row>
    <row r="442" spans="1:6" ht="85.5" x14ac:dyDescent="0.25">
      <c r="A442" s="218">
        <f t="shared" si="21"/>
        <v>15</v>
      </c>
      <c r="B442" s="9" t="s">
        <v>84</v>
      </c>
      <c r="C442" s="261" t="s">
        <v>37</v>
      </c>
      <c r="D442" s="261">
        <v>1</v>
      </c>
      <c r="E442" s="264">
        <v>345600</v>
      </c>
      <c r="F442" s="249">
        <f t="shared" si="22"/>
        <v>345600</v>
      </c>
    </row>
    <row r="443" spans="1:6" ht="29.25" x14ac:dyDescent="0.25">
      <c r="A443" s="218">
        <f t="shared" si="21"/>
        <v>16</v>
      </c>
      <c r="B443" s="36" t="s">
        <v>160</v>
      </c>
      <c r="C443" s="261" t="s">
        <v>37</v>
      </c>
      <c r="D443" s="261">
        <v>2</v>
      </c>
      <c r="E443" s="264">
        <v>90583</v>
      </c>
      <c r="F443" s="249">
        <f t="shared" si="22"/>
        <v>181166</v>
      </c>
    </row>
    <row r="444" spans="1:6" x14ac:dyDescent="0.25">
      <c r="A444" s="218">
        <f t="shared" si="21"/>
        <v>17</v>
      </c>
      <c r="B444" s="258" t="s">
        <v>43</v>
      </c>
      <c r="C444" s="261"/>
      <c r="D444" s="261"/>
      <c r="E444" s="264"/>
      <c r="F444" s="249">
        <f t="shared" si="22"/>
        <v>0</v>
      </c>
    </row>
    <row r="445" spans="1:6" ht="29.25" x14ac:dyDescent="0.25">
      <c r="A445" s="218">
        <f t="shared" si="21"/>
        <v>18</v>
      </c>
      <c r="B445" s="36" t="s">
        <v>44</v>
      </c>
      <c r="C445" s="261" t="s">
        <v>71</v>
      </c>
      <c r="D445" s="261">
        <v>6</v>
      </c>
      <c r="E445" s="264">
        <v>121019</v>
      </c>
      <c r="F445" s="249">
        <f t="shared" si="22"/>
        <v>726114</v>
      </c>
    </row>
    <row r="446" spans="1:6" ht="29.25" x14ac:dyDescent="0.25">
      <c r="A446" s="218">
        <f t="shared" si="21"/>
        <v>19</v>
      </c>
      <c r="B446" s="36" t="s">
        <v>45</v>
      </c>
      <c r="C446" s="261" t="s">
        <v>71</v>
      </c>
      <c r="D446" s="261">
        <v>41</v>
      </c>
      <c r="E446" s="264">
        <v>22197</v>
      </c>
      <c r="F446" s="249">
        <f t="shared" si="22"/>
        <v>910077</v>
      </c>
    </row>
    <row r="447" spans="1:6" ht="29.25" x14ac:dyDescent="0.25">
      <c r="A447" s="218">
        <f t="shared" si="21"/>
        <v>20</v>
      </c>
      <c r="B447" s="36" t="s">
        <v>161</v>
      </c>
      <c r="C447" s="261" t="s">
        <v>71</v>
      </c>
      <c r="D447" s="261">
        <v>12</v>
      </c>
      <c r="E447" s="264">
        <v>145281</v>
      </c>
      <c r="F447" s="249">
        <f t="shared" si="22"/>
        <v>1743372</v>
      </c>
    </row>
    <row r="448" spans="1:6" x14ac:dyDescent="0.25">
      <c r="A448" s="218">
        <f t="shared" si="21"/>
        <v>21</v>
      </c>
      <c r="B448" s="256" t="s">
        <v>48</v>
      </c>
      <c r="C448" s="261"/>
      <c r="D448" s="261"/>
      <c r="E448" s="264"/>
      <c r="F448" s="249">
        <f t="shared" si="22"/>
        <v>0</v>
      </c>
    </row>
    <row r="449" spans="1:6" ht="43.5" x14ac:dyDescent="0.25">
      <c r="A449" s="218">
        <f t="shared" si="21"/>
        <v>22</v>
      </c>
      <c r="B449" s="36" t="s">
        <v>86</v>
      </c>
      <c r="C449" s="261" t="s">
        <v>71</v>
      </c>
      <c r="D449" s="261">
        <v>0.5</v>
      </c>
      <c r="E449" s="264">
        <v>607296</v>
      </c>
      <c r="F449" s="249">
        <f t="shared" si="22"/>
        <v>303648</v>
      </c>
    </row>
    <row r="450" spans="1:6" ht="43.5" x14ac:dyDescent="0.25">
      <c r="A450" s="218">
        <f t="shared" si="21"/>
        <v>23</v>
      </c>
      <c r="B450" s="36" t="s">
        <v>50</v>
      </c>
      <c r="C450" s="261" t="s">
        <v>71</v>
      </c>
      <c r="D450" s="261">
        <v>12</v>
      </c>
      <c r="E450" s="264">
        <v>824735</v>
      </c>
      <c r="F450" s="249">
        <f t="shared" si="22"/>
        <v>9896820</v>
      </c>
    </row>
    <row r="451" spans="1:6" x14ac:dyDescent="0.25">
      <c r="A451" s="216"/>
      <c r="B451" s="18" t="s">
        <v>56</v>
      </c>
      <c r="C451" s="54"/>
      <c r="D451" s="130"/>
      <c r="E451" s="28"/>
      <c r="F451" s="28">
        <f>ROUND((F450+F449+F448+F447+F446+F445+F444+F443+F442+F441+F440+F439+F438+F437+F436+F435+F434+F433+F432+F431+F430+F429),0)</f>
        <v>21901778</v>
      </c>
    </row>
    <row r="452" spans="1:6" x14ac:dyDescent="0.25">
      <c r="A452" s="19"/>
      <c r="B452" s="19" t="s">
        <v>60</v>
      </c>
      <c r="C452" s="19"/>
      <c r="D452" s="19"/>
      <c r="E452" s="19"/>
      <c r="F452" s="29">
        <f>ROUND(F451/1.3495,0)</f>
        <v>16229550</v>
      </c>
    </row>
    <row r="453" spans="1:6" x14ac:dyDescent="0.25">
      <c r="A453" s="19"/>
      <c r="B453" s="19" t="s">
        <v>61</v>
      </c>
      <c r="C453" s="131">
        <v>0.24</v>
      </c>
      <c r="D453" s="19"/>
      <c r="E453" s="19"/>
      <c r="F453" s="29">
        <f>ROUND(F452*C453,0)</f>
        <v>3895092</v>
      </c>
    </row>
    <row r="454" spans="1:6" x14ac:dyDescent="0.25">
      <c r="A454" s="19"/>
      <c r="B454" s="19" t="s">
        <v>57</v>
      </c>
      <c r="C454" s="131">
        <v>0.05</v>
      </c>
      <c r="D454" s="19"/>
      <c r="E454" s="19"/>
      <c r="F454" s="29">
        <f>ROUND(F452*C454,0)</f>
        <v>811478</v>
      </c>
    </row>
    <row r="455" spans="1:6" x14ac:dyDescent="0.25">
      <c r="A455" s="19"/>
      <c r="B455" s="19" t="s">
        <v>62</v>
      </c>
      <c r="C455" s="131">
        <v>0.05</v>
      </c>
      <c r="D455" s="19"/>
      <c r="E455" s="19"/>
      <c r="F455" s="29">
        <f>ROUND(F452*C455,0)</f>
        <v>811478</v>
      </c>
    </row>
    <row r="456" spans="1:6" ht="29.25" x14ac:dyDescent="0.25">
      <c r="A456" s="19"/>
      <c r="B456" s="13" t="s">
        <v>63</v>
      </c>
      <c r="C456" s="133">
        <v>0.19</v>
      </c>
      <c r="D456" s="120"/>
      <c r="E456" s="120"/>
      <c r="F456" s="35">
        <f>ROUND(F455*19%,0)</f>
        <v>154181</v>
      </c>
    </row>
    <row r="457" spans="1:6" x14ac:dyDescent="0.25">
      <c r="A457" s="19"/>
      <c r="B457" s="18" t="s">
        <v>56</v>
      </c>
      <c r="C457" s="19"/>
      <c r="D457" s="19"/>
      <c r="E457" s="19"/>
      <c r="F457" s="30">
        <f>SUM(F452:F456)</f>
        <v>21901779</v>
      </c>
    </row>
    <row r="459" spans="1:6" x14ac:dyDescent="0.25">
      <c r="A459" s="422" t="s">
        <v>162</v>
      </c>
      <c r="B459" s="422"/>
      <c r="C459" s="422"/>
      <c r="D459" s="422"/>
      <c r="E459" s="422"/>
      <c r="F459" s="422"/>
    </row>
    <row r="460" spans="1:6" x14ac:dyDescent="0.25">
      <c r="A460" s="420" t="s">
        <v>10</v>
      </c>
      <c r="B460" s="420" t="s">
        <v>0</v>
      </c>
      <c r="C460" s="420" t="s">
        <v>11</v>
      </c>
      <c r="D460" s="420" t="s">
        <v>12</v>
      </c>
      <c r="E460" s="420"/>
      <c r="F460" s="420"/>
    </row>
    <row r="461" spans="1:6" x14ac:dyDescent="0.25">
      <c r="A461" s="420"/>
      <c r="B461" s="420"/>
      <c r="C461" s="420"/>
      <c r="D461" s="54" t="s">
        <v>13</v>
      </c>
      <c r="E461" s="54" t="s">
        <v>14</v>
      </c>
      <c r="F461" s="54" t="s">
        <v>15</v>
      </c>
    </row>
    <row r="462" spans="1:6" x14ac:dyDescent="0.25">
      <c r="A462" s="218">
        <f t="shared" ref="A462:A486" si="23">A461+1</f>
        <v>1</v>
      </c>
      <c r="B462" s="18" t="s">
        <v>16</v>
      </c>
      <c r="C462" s="420"/>
      <c r="D462" s="420"/>
      <c r="E462" s="420"/>
      <c r="F462" s="20"/>
    </row>
    <row r="463" spans="1:6" ht="29.25" x14ac:dyDescent="0.25">
      <c r="A463" s="218">
        <f t="shared" si="23"/>
        <v>2</v>
      </c>
      <c r="B463" s="17" t="s">
        <v>91</v>
      </c>
      <c r="C463" s="218" t="s">
        <v>18</v>
      </c>
      <c r="D463" s="31">
        <v>72</v>
      </c>
      <c r="E463" s="58">
        <v>5230</v>
      </c>
      <c r="F463" s="249">
        <f t="shared" ref="F463:F486" si="24">ROUND(D463*E463,0)</f>
        <v>376560</v>
      </c>
    </row>
    <row r="464" spans="1:6" ht="42.75" x14ac:dyDescent="0.25">
      <c r="A464" s="218">
        <f t="shared" si="23"/>
        <v>3</v>
      </c>
      <c r="B464" s="9" t="s">
        <v>21</v>
      </c>
      <c r="C464" s="218" t="s">
        <v>18</v>
      </c>
      <c r="D464" s="31">
        <v>156</v>
      </c>
      <c r="E464" s="59">
        <v>13608</v>
      </c>
      <c r="F464" s="249">
        <f t="shared" si="24"/>
        <v>2122848</v>
      </c>
    </row>
    <row r="465" spans="1:6" ht="29.25" x14ac:dyDescent="0.25">
      <c r="A465" s="218">
        <f t="shared" si="23"/>
        <v>4</v>
      </c>
      <c r="B465" s="17" t="s">
        <v>22</v>
      </c>
      <c r="C465" s="218" t="s">
        <v>23</v>
      </c>
      <c r="D465" s="31">
        <v>2</v>
      </c>
      <c r="E465" s="58">
        <v>155814</v>
      </c>
      <c r="F465" s="249">
        <f t="shared" si="24"/>
        <v>311628</v>
      </c>
    </row>
    <row r="466" spans="1:6" x14ac:dyDescent="0.25">
      <c r="A466" s="218">
        <f t="shared" si="23"/>
        <v>5</v>
      </c>
      <c r="B466" s="18" t="s">
        <v>25</v>
      </c>
      <c r="C466" s="20"/>
      <c r="D466" s="20"/>
      <c r="E466" s="58">
        <v>0</v>
      </c>
      <c r="F466" s="249">
        <f t="shared" si="24"/>
        <v>0</v>
      </c>
    </row>
    <row r="467" spans="1:6" ht="29.25" x14ac:dyDescent="0.25">
      <c r="A467" s="218">
        <f t="shared" si="23"/>
        <v>6</v>
      </c>
      <c r="B467" s="56" t="s">
        <v>26</v>
      </c>
      <c r="C467" s="218" t="s">
        <v>18</v>
      </c>
      <c r="D467" s="31">
        <v>264</v>
      </c>
      <c r="E467" s="58">
        <v>7652</v>
      </c>
      <c r="F467" s="249">
        <f t="shared" si="24"/>
        <v>2020128</v>
      </c>
    </row>
    <row r="468" spans="1:6" ht="72" x14ac:dyDescent="0.25">
      <c r="A468" s="218">
        <f t="shared" si="23"/>
        <v>7</v>
      </c>
      <c r="B468" s="17" t="s">
        <v>78</v>
      </c>
      <c r="C468" s="218" t="s">
        <v>64</v>
      </c>
      <c r="D468" s="31">
        <v>10</v>
      </c>
      <c r="E468" s="58">
        <v>83560</v>
      </c>
      <c r="F468" s="249">
        <f t="shared" si="24"/>
        <v>835600</v>
      </c>
    </row>
    <row r="469" spans="1:6" x14ac:dyDescent="0.25">
      <c r="A469" s="218">
        <f t="shared" si="23"/>
        <v>8</v>
      </c>
      <c r="B469" s="18" t="s">
        <v>28</v>
      </c>
      <c r="C469" s="20"/>
      <c r="D469" s="20"/>
      <c r="E469" s="58">
        <v>0</v>
      </c>
      <c r="F469" s="249">
        <f t="shared" si="24"/>
        <v>0</v>
      </c>
    </row>
    <row r="470" spans="1:6" ht="29.25" x14ac:dyDescent="0.25">
      <c r="A470" s="218">
        <f t="shared" si="23"/>
        <v>9</v>
      </c>
      <c r="B470" s="17" t="s">
        <v>79</v>
      </c>
      <c r="C470" s="218" t="s">
        <v>64</v>
      </c>
      <c r="D470" s="31">
        <v>45</v>
      </c>
      <c r="E470" s="58">
        <v>26395</v>
      </c>
      <c r="F470" s="249">
        <f t="shared" si="24"/>
        <v>1187775</v>
      </c>
    </row>
    <row r="471" spans="1:6" ht="43.5" x14ac:dyDescent="0.25">
      <c r="A471" s="218">
        <f t="shared" si="23"/>
        <v>10</v>
      </c>
      <c r="B471" s="17" t="s">
        <v>32</v>
      </c>
      <c r="C471" s="218" t="s">
        <v>64</v>
      </c>
      <c r="D471" s="31">
        <v>30</v>
      </c>
      <c r="E471" s="58">
        <v>32848</v>
      </c>
      <c r="F471" s="249">
        <f t="shared" si="24"/>
        <v>985440</v>
      </c>
    </row>
    <row r="472" spans="1:6" ht="30" x14ac:dyDescent="0.25">
      <c r="A472" s="218">
        <f t="shared" si="23"/>
        <v>11</v>
      </c>
      <c r="B472" s="188" t="s">
        <v>80</v>
      </c>
      <c r="C472" s="20"/>
      <c r="D472" s="20"/>
      <c r="E472" s="243">
        <v>0</v>
      </c>
      <c r="F472" s="249">
        <f t="shared" si="24"/>
        <v>0</v>
      </c>
    </row>
    <row r="473" spans="1:6" ht="29.25" x14ac:dyDescent="0.25">
      <c r="A473" s="218">
        <f t="shared" si="23"/>
        <v>12</v>
      </c>
      <c r="B473" s="17" t="s">
        <v>163</v>
      </c>
      <c r="C473" s="218" t="s">
        <v>18</v>
      </c>
      <c r="D473" s="31">
        <v>72</v>
      </c>
      <c r="E473" s="58">
        <v>5945</v>
      </c>
      <c r="F473" s="249">
        <f t="shared" si="24"/>
        <v>428040</v>
      </c>
    </row>
    <row r="474" spans="1:6" ht="57.75" x14ac:dyDescent="0.25">
      <c r="A474" s="218">
        <f t="shared" si="23"/>
        <v>13</v>
      </c>
      <c r="B474" s="17" t="s">
        <v>82</v>
      </c>
      <c r="C474" s="218" t="s">
        <v>37</v>
      </c>
      <c r="D474" s="31">
        <v>10</v>
      </c>
      <c r="E474" s="58">
        <v>42039</v>
      </c>
      <c r="F474" s="249">
        <f t="shared" si="24"/>
        <v>420390</v>
      </c>
    </row>
    <row r="475" spans="1:6" x14ac:dyDescent="0.25">
      <c r="A475" s="218">
        <f t="shared" si="23"/>
        <v>14</v>
      </c>
      <c r="B475" s="57" t="s">
        <v>83</v>
      </c>
      <c r="C475" s="218" t="s">
        <v>37</v>
      </c>
      <c r="D475" s="31">
        <v>1</v>
      </c>
      <c r="E475" s="58">
        <v>210191</v>
      </c>
      <c r="F475" s="249">
        <f t="shared" si="24"/>
        <v>210191</v>
      </c>
    </row>
    <row r="476" spans="1:6" ht="85.5" x14ac:dyDescent="0.25">
      <c r="A476" s="218">
        <f t="shared" si="23"/>
        <v>15</v>
      </c>
      <c r="B476" s="9" t="s">
        <v>159</v>
      </c>
      <c r="C476" s="218" t="s">
        <v>37</v>
      </c>
      <c r="D476" s="31">
        <v>1</v>
      </c>
      <c r="E476" s="58">
        <v>345600</v>
      </c>
      <c r="F476" s="249">
        <f t="shared" si="24"/>
        <v>345600</v>
      </c>
    </row>
    <row r="477" spans="1:6" ht="29.25" x14ac:dyDescent="0.25">
      <c r="A477" s="218">
        <f t="shared" si="23"/>
        <v>16</v>
      </c>
      <c r="B477" s="17" t="s">
        <v>85</v>
      </c>
      <c r="C477" s="218" t="s">
        <v>23</v>
      </c>
      <c r="D477" s="31">
        <v>2</v>
      </c>
      <c r="E477" s="58">
        <v>90583</v>
      </c>
      <c r="F477" s="249">
        <f t="shared" si="24"/>
        <v>181166</v>
      </c>
    </row>
    <row r="478" spans="1:6" x14ac:dyDescent="0.25">
      <c r="A478" s="218">
        <f t="shared" si="23"/>
        <v>17</v>
      </c>
      <c r="B478" s="18" t="s">
        <v>43</v>
      </c>
      <c r="C478" s="20"/>
      <c r="D478" s="20"/>
      <c r="E478" s="58">
        <v>0</v>
      </c>
      <c r="F478" s="249">
        <f t="shared" si="24"/>
        <v>0</v>
      </c>
    </row>
    <row r="479" spans="1:6" ht="29.25" x14ac:dyDescent="0.25">
      <c r="A479" s="218">
        <f t="shared" si="23"/>
        <v>18</v>
      </c>
      <c r="B479" s="17" t="s">
        <v>44</v>
      </c>
      <c r="C479" s="218" t="s">
        <v>64</v>
      </c>
      <c r="D479" s="31">
        <v>6</v>
      </c>
      <c r="E479" s="58">
        <v>121019</v>
      </c>
      <c r="F479" s="249">
        <f t="shared" si="24"/>
        <v>726114</v>
      </c>
    </row>
    <row r="480" spans="1:6" ht="29.25" x14ac:dyDescent="0.25">
      <c r="A480" s="218">
        <f t="shared" si="23"/>
        <v>19</v>
      </c>
      <c r="B480" s="17" t="s">
        <v>45</v>
      </c>
      <c r="C480" s="218" t="s">
        <v>64</v>
      </c>
      <c r="D480" s="31">
        <v>24</v>
      </c>
      <c r="E480" s="58">
        <v>22197</v>
      </c>
      <c r="F480" s="249">
        <f t="shared" si="24"/>
        <v>532728</v>
      </c>
    </row>
    <row r="481" spans="1:6" ht="29.25" x14ac:dyDescent="0.25">
      <c r="A481" s="218">
        <f t="shared" si="23"/>
        <v>20</v>
      </c>
      <c r="B481" s="17" t="s">
        <v>164</v>
      </c>
      <c r="C481" s="218" t="s">
        <v>64</v>
      </c>
      <c r="D481" s="31">
        <v>13</v>
      </c>
      <c r="E481" s="58">
        <v>145281</v>
      </c>
      <c r="F481" s="249">
        <f t="shared" si="24"/>
        <v>1888653</v>
      </c>
    </row>
    <row r="482" spans="1:6" x14ac:dyDescent="0.25">
      <c r="A482" s="218">
        <f t="shared" si="23"/>
        <v>21</v>
      </c>
      <c r="B482" s="18" t="s">
        <v>48</v>
      </c>
      <c r="C482" s="20"/>
      <c r="D482" s="20"/>
      <c r="E482" s="58">
        <v>0</v>
      </c>
      <c r="F482" s="249">
        <f t="shared" si="24"/>
        <v>0</v>
      </c>
    </row>
    <row r="483" spans="1:6" ht="43.5" x14ac:dyDescent="0.25">
      <c r="A483" s="218">
        <f t="shared" si="23"/>
        <v>22</v>
      </c>
      <c r="B483" s="17" t="s">
        <v>86</v>
      </c>
      <c r="C483" s="218" t="s">
        <v>64</v>
      </c>
      <c r="D483" s="31">
        <v>0.5</v>
      </c>
      <c r="E483" s="58">
        <v>607296</v>
      </c>
      <c r="F483" s="249">
        <f t="shared" si="24"/>
        <v>303648</v>
      </c>
    </row>
    <row r="484" spans="1:6" ht="43.5" x14ac:dyDescent="0.25">
      <c r="A484" s="218">
        <f t="shared" si="23"/>
        <v>23</v>
      </c>
      <c r="B484" s="17" t="s">
        <v>50</v>
      </c>
      <c r="C484" s="218" t="s">
        <v>64</v>
      </c>
      <c r="D484" s="31">
        <v>10</v>
      </c>
      <c r="E484" s="58">
        <v>824735</v>
      </c>
      <c r="F484" s="249">
        <f t="shared" si="24"/>
        <v>8247350</v>
      </c>
    </row>
    <row r="485" spans="1:6" x14ac:dyDescent="0.25">
      <c r="A485" s="218">
        <f t="shared" si="23"/>
        <v>24</v>
      </c>
      <c r="B485" s="188" t="s">
        <v>51</v>
      </c>
      <c r="C485" s="20"/>
      <c r="D485" s="20"/>
      <c r="E485" s="58">
        <v>0</v>
      </c>
      <c r="F485" s="249">
        <f t="shared" si="24"/>
        <v>0</v>
      </c>
    </row>
    <row r="486" spans="1:6" ht="29.25" x14ac:dyDescent="0.25">
      <c r="A486" s="218">
        <f t="shared" si="23"/>
        <v>25</v>
      </c>
      <c r="B486" s="17" t="s">
        <v>88</v>
      </c>
      <c r="C486" s="218" t="s">
        <v>53</v>
      </c>
      <c r="D486" s="31">
        <v>36</v>
      </c>
      <c r="E486" s="58">
        <v>5922</v>
      </c>
      <c r="F486" s="249">
        <f t="shared" si="24"/>
        <v>213192</v>
      </c>
    </row>
    <row r="487" spans="1:6" x14ac:dyDescent="0.25">
      <c r="A487" s="216"/>
      <c r="B487" s="18" t="s">
        <v>56</v>
      </c>
      <c r="C487" s="54"/>
      <c r="D487" s="130"/>
      <c r="E487" s="28"/>
      <c r="F487" s="28">
        <f>ROUND((F486+F485+F484+F483+F482+F481+F480+F479+F478+F477+F476+F475+F474+F473+F472+F471+F470+F469+F468+F467+F466+F465+F464+F463),0)</f>
        <v>21337051</v>
      </c>
    </row>
    <row r="488" spans="1:6" x14ac:dyDescent="0.25">
      <c r="A488" s="19"/>
      <c r="B488" s="19" t="s">
        <v>60</v>
      </c>
      <c r="C488" s="19"/>
      <c r="D488" s="19"/>
      <c r="E488" s="19"/>
      <c r="F488" s="29">
        <f>ROUND(F487/1.3495,0)</f>
        <v>15811079</v>
      </c>
    </row>
    <row r="489" spans="1:6" x14ac:dyDescent="0.25">
      <c r="A489" s="19"/>
      <c r="B489" s="19" t="s">
        <v>61</v>
      </c>
      <c r="C489" s="131">
        <v>0.24</v>
      </c>
      <c r="D489" s="19"/>
      <c r="E489" s="19"/>
      <c r="F489" s="29">
        <f>ROUND(F488*C489,0)</f>
        <v>3794659</v>
      </c>
    </row>
    <row r="490" spans="1:6" x14ac:dyDescent="0.25">
      <c r="A490" s="19"/>
      <c r="B490" s="19" t="s">
        <v>57</v>
      </c>
      <c r="C490" s="131">
        <v>0.05</v>
      </c>
      <c r="D490" s="19"/>
      <c r="E490" s="19"/>
      <c r="F490" s="29">
        <f>ROUND(F488*C490,0)</f>
        <v>790554</v>
      </c>
    </row>
    <row r="491" spans="1:6" x14ac:dyDescent="0.25">
      <c r="A491" s="19"/>
      <c r="B491" s="19" t="s">
        <v>62</v>
      </c>
      <c r="C491" s="131">
        <v>0.05</v>
      </c>
      <c r="D491" s="19"/>
      <c r="E491" s="19"/>
      <c r="F491" s="29">
        <f>ROUND(F488*C491,0)</f>
        <v>790554</v>
      </c>
    </row>
    <row r="492" spans="1:6" ht="29.25" x14ac:dyDescent="0.25">
      <c r="A492" s="19"/>
      <c r="B492" s="13" t="s">
        <v>63</v>
      </c>
      <c r="C492" s="133">
        <v>0.19</v>
      </c>
      <c r="D492" s="120"/>
      <c r="E492" s="120"/>
      <c r="F492" s="35">
        <f>ROUND(F491*19%,0)</f>
        <v>150205</v>
      </c>
    </row>
    <row r="493" spans="1:6" x14ac:dyDescent="0.25">
      <c r="A493" s="19"/>
      <c r="B493" s="18" t="s">
        <v>56</v>
      </c>
      <c r="C493" s="19"/>
      <c r="D493" s="19"/>
      <c r="E493" s="19"/>
      <c r="F493" s="30">
        <f>SUM(F488:F492)</f>
        <v>21337051</v>
      </c>
    </row>
    <row r="495" spans="1:6" x14ac:dyDescent="0.25">
      <c r="A495" s="434" t="s">
        <v>165</v>
      </c>
      <c r="B495" s="434"/>
      <c r="C495" s="434"/>
      <c r="D495" s="434"/>
      <c r="E495" s="434"/>
      <c r="F495" s="434"/>
    </row>
    <row r="496" spans="1:6" x14ac:dyDescent="0.25">
      <c r="A496" s="258" t="s">
        <v>10</v>
      </c>
      <c r="B496" s="258" t="s">
        <v>0</v>
      </c>
      <c r="C496" s="258" t="s">
        <v>11</v>
      </c>
      <c r="D496" s="258" t="s">
        <v>12</v>
      </c>
      <c r="E496" s="258"/>
      <c r="F496" s="258"/>
    </row>
    <row r="497" spans="1:6" x14ac:dyDescent="0.25">
      <c r="A497" s="258"/>
      <c r="B497" s="258"/>
      <c r="C497" s="258"/>
      <c r="D497" s="258" t="s">
        <v>13</v>
      </c>
      <c r="E497" s="258" t="s">
        <v>14</v>
      </c>
      <c r="F497" s="258" t="s">
        <v>15</v>
      </c>
    </row>
    <row r="498" spans="1:6" x14ac:dyDescent="0.25">
      <c r="A498" s="218">
        <f t="shared" ref="A498:A526" si="25">A497+1</f>
        <v>1</v>
      </c>
      <c r="B498" s="258" t="s">
        <v>16</v>
      </c>
      <c r="C498" s="256"/>
      <c r="D498" s="256"/>
      <c r="E498" s="256"/>
      <c r="F498" s="256"/>
    </row>
    <row r="499" spans="1:6" ht="29.25" x14ac:dyDescent="0.25">
      <c r="A499" s="218">
        <f t="shared" si="25"/>
        <v>2</v>
      </c>
      <c r="B499" s="36" t="s">
        <v>91</v>
      </c>
      <c r="C499" s="218" t="s">
        <v>18</v>
      </c>
      <c r="D499" s="31">
        <v>60</v>
      </c>
      <c r="E499" s="58">
        <v>5230</v>
      </c>
      <c r="F499" s="249">
        <f t="shared" ref="F499:F526" si="26">ROUND(D499*E499,0)</f>
        <v>313800</v>
      </c>
    </row>
    <row r="500" spans="1:6" ht="29.25" x14ac:dyDescent="0.25">
      <c r="A500" s="218">
        <f t="shared" si="25"/>
        <v>3</v>
      </c>
      <c r="B500" s="36" t="s">
        <v>22</v>
      </c>
      <c r="C500" s="218" t="s">
        <v>23</v>
      </c>
      <c r="D500" s="31">
        <v>2</v>
      </c>
      <c r="E500" s="58">
        <v>155814</v>
      </c>
      <c r="F500" s="249">
        <f t="shared" si="26"/>
        <v>311628</v>
      </c>
    </row>
    <row r="501" spans="1:6" ht="42.75" x14ac:dyDescent="0.25">
      <c r="A501" s="218">
        <f t="shared" si="25"/>
        <v>4</v>
      </c>
      <c r="B501" s="269" t="s">
        <v>21</v>
      </c>
      <c r="C501" s="218" t="s">
        <v>18</v>
      </c>
      <c r="D501" s="31">
        <v>120</v>
      </c>
      <c r="E501" s="58">
        <v>13608</v>
      </c>
      <c r="F501" s="249">
        <f t="shared" si="26"/>
        <v>1632960</v>
      </c>
    </row>
    <row r="502" spans="1:6" x14ac:dyDescent="0.25">
      <c r="A502" s="218">
        <f t="shared" si="25"/>
        <v>5</v>
      </c>
      <c r="B502" s="258" t="s">
        <v>25</v>
      </c>
      <c r="C502" s="218"/>
      <c r="D502" s="31"/>
      <c r="E502" s="58"/>
      <c r="F502" s="249">
        <f t="shared" si="26"/>
        <v>0</v>
      </c>
    </row>
    <row r="503" spans="1:6" ht="29.25" x14ac:dyDescent="0.25">
      <c r="A503" s="218">
        <f t="shared" si="25"/>
        <v>6</v>
      </c>
      <c r="B503" s="36" t="s">
        <v>26</v>
      </c>
      <c r="C503" s="218" t="s">
        <v>18</v>
      </c>
      <c r="D503" s="31">
        <v>160</v>
      </c>
      <c r="E503" s="58">
        <v>7652</v>
      </c>
      <c r="F503" s="249">
        <f t="shared" si="26"/>
        <v>1224320</v>
      </c>
    </row>
    <row r="504" spans="1:6" ht="72" x14ac:dyDescent="0.25">
      <c r="A504" s="218">
        <f t="shared" si="25"/>
        <v>7</v>
      </c>
      <c r="B504" s="36" t="s">
        <v>78</v>
      </c>
      <c r="C504" s="218" t="s">
        <v>71</v>
      </c>
      <c r="D504" s="31">
        <v>8</v>
      </c>
      <c r="E504" s="58">
        <v>83560</v>
      </c>
      <c r="F504" s="249">
        <f t="shared" si="26"/>
        <v>668480</v>
      </c>
    </row>
    <row r="505" spans="1:6" x14ac:dyDescent="0.25">
      <c r="A505" s="218">
        <f t="shared" si="25"/>
        <v>8</v>
      </c>
      <c r="B505" s="263" t="s">
        <v>28</v>
      </c>
      <c r="C505" s="218"/>
      <c r="D505" s="31"/>
      <c r="E505" s="58"/>
      <c r="F505" s="249">
        <f t="shared" si="26"/>
        <v>0</v>
      </c>
    </row>
    <row r="506" spans="1:6" ht="29.25" x14ac:dyDescent="0.25">
      <c r="A506" s="218">
        <f t="shared" si="25"/>
        <v>9</v>
      </c>
      <c r="B506" s="36" t="s">
        <v>79</v>
      </c>
      <c r="C506" s="218" t="s">
        <v>71</v>
      </c>
      <c r="D506" s="31">
        <v>76</v>
      </c>
      <c r="E506" s="58">
        <v>26395</v>
      </c>
      <c r="F506" s="249">
        <f t="shared" si="26"/>
        <v>2006020</v>
      </c>
    </row>
    <row r="507" spans="1:6" ht="29.25" x14ac:dyDescent="0.25">
      <c r="A507" s="218">
        <f t="shared" si="25"/>
        <v>10</v>
      </c>
      <c r="B507" s="36" t="s">
        <v>148</v>
      </c>
      <c r="C507" s="218" t="s">
        <v>18</v>
      </c>
      <c r="D507" s="31">
        <v>60</v>
      </c>
      <c r="E507" s="58">
        <v>31222</v>
      </c>
      <c r="F507" s="249">
        <f t="shared" si="26"/>
        <v>1873320</v>
      </c>
    </row>
    <row r="508" spans="1:6" ht="43.5" x14ac:dyDescent="0.25">
      <c r="A508" s="218">
        <f t="shared" si="25"/>
        <v>11</v>
      </c>
      <c r="B508" s="36" t="s">
        <v>32</v>
      </c>
      <c r="C508" s="218" t="s">
        <v>71</v>
      </c>
      <c r="D508" s="31">
        <v>40</v>
      </c>
      <c r="E508" s="58">
        <v>32848</v>
      </c>
      <c r="F508" s="249">
        <f t="shared" si="26"/>
        <v>1313920</v>
      </c>
    </row>
    <row r="509" spans="1:6" ht="100.5" x14ac:dyDescent="0.25">
      <c r="A509" s="218">
        <f t="shared" si="25"/>
        <v>12</v>
      </c>
      <c r="B509" s="36" t="s">
        <v>166</v>
      </c>
      <c r="C509" s="218" t="s">
        <v>18</v>
      </c>
      <c r="D509" s="31">
        <v>20</v>
      </c>
      <c r="E509" s="58">
        <v>62500</v>
      </c>
      <c r="F509" s="249">
        <f t="shared" si="26"/>
        <v>1250000</v>
      </c>
    </row>
    <row r="510" spans="1:6" ht="29.25" x14ac:dyDescent="0.25">
      <c r="A510" s="218">
        <f t="shared" si="25"/>
        <v>13</v>
      </c>
      <c r="B510" s="36" t="s">
        <v>80</v>
      </c>
      <c r="C510" s="218"/>
      <c r="D510" s="31"/>
      <c r="E510" s="58"/>
      <c r="F510" s="249">
        <f t="shared" si="26"/>
        <v>0</v>
      </c>
    </row>
    <row r="511" spans="1:6" ht="43.5" x14ac:dyDescent="0.25">
      <c r="A511" s="218">
        <f t="shared" si="25"/>
        <v>14</v>
      </c>
      <c r="B511" s="36" t="s">
        <v>846</v>
      </c>
      <c r="C511" s="218" t="s">
        <v>18</v>
      </c>
      <c r="D511" s="31">
        <v>60</v>
      </c>
      <c r="E511" s="58">
        <v>8500</v>
      </c>
      <c r="F511" s="249">
        <f t="shared" si="26"/>
        <v>510000</v>
      </c>
    </row>
    <row r="512" spans="1:6" ht="43.5" x14ac:dyDescent="0.25">
      <c r="A512" s="218">
        <f t="shared" si="25"/>
        <v>15</v>
      </c>
      <c r="B512" s="36" t="s">
        <v>847</v>
      </c>
      <c r="C512" s="218" t="s">
        <v>18</v>
      </c>
      <c r="D512" s="31">
        <v>60</v>
      </c>
      <c r="E512" s="58">
        <v>45000</v>
      </c>
      <c r="F512" s="249">
        <f t="shared" si="26"/>
        <v>2700000</v>
      </c>
    </row>
    <row r="513" spans="1:6" ht="57.75" x14ac:dyDescent="0.25">
      <c r="A513" s="218">
        <f t="shared" si="25"/>
        <v>16</v>
      </c>
      <c r="B513" s="36" t="s">
        <v>82</v>
      </c>
      <c r="C513" s="218" t="s">
        <v>37</v>
      </c>
      <c r="D513" s="31">
        <v>12</v>
      </c>
      <c r="E513" s="58">
        <v>42039</v>
      </c>
      <c r="F513" s="249">
        <f t="shared" si="26"/>
        <v>504468</v>
      </c>
    </row>
    <row r="514" spans="1:6" x14ac:dyDescent="0.25">
      <c r="A514" s="218">
        <f t="shared" si="25"/>
        <v>17</v>
      </c>
      <c r="B514" s="36" t="s">
        <v>292</v>
      </c>
      <c r="C514" s="218" t="s">
        <v>37</v>
      </c>
      <c r="D514" s="31">
        <v>1</v>
      </c>
      <c r="E514" s="58">
        <v>210191</v>
      </c>
      <c r="F514" s="249">
        <f t="shared" si="26"/>
        <v>210191</v>
      </c>
    </row>
    <row r="515" spans="1:6" ht="72" x14ac:dyDescent="0.25">
      <c r="A515" s="218">
        <f t="shared" si="25"/>
        <v>18</v>
      </c>
      <c r="B515" s="36" t="s">
        <v>167</v>
      </c>
      <c r="C515" s="218" t="s">
        <v>37</v>
      </c>
      <c r="D515" s="31">
        <v>1</v>
      </c>
      <c r="E515" s="58">
        <v>345600</v>
      </c>
      <c r="F515" s="249">
        <f t="shared" si="26"/>
        <v>345600</v>
      </c>
    </row>
    <row r="516" spans="1:6" ht="29.25" x14ac:dyDescent="0.25">
      <c r="A516" s="218">
        <f t="shared" si="25"/>
        <v>19</v>
      </c>
      <c r="B516" s="36" t="s">
        <v>168</v>
      </c>
      <c r="C516" s="218" t="s">
        <v>37</v>
      </c>
      <c r="D516" s="31">
        <v>4</v>
      </c>
      <c r="E516" s="58">
        <v>275000</v>
      </c>
      <c r="F516" s="249">
        <f t="shared" si="26"/>
        <v>1100000</v>
      </c>
    </row>
    <row r="517" spans="1:6" ht="57.75" x14ac:dyDescent="0.25">
      <c r="A517" s="218">
        <f t="shared" si="25"/>
        <v>20</v>
      </c>
      <c r="B517" s="36" t="s">
        <v>848</v>
      </c>
      <c r="C517" s="218" t="s">
        <v>169</v>
      </c>
      <c r="D517" s="31">
        <v>4</v>
      </c>
      <c r="E517" s="58">
        <v>275000</v>
      </c>
      <c r="F517" s="249">
        <f t="shared" si="26"/>
        <v>1100000</v>
      </c>
    </row>
    <row r="518" spans="1:6" x14ac:dyDescent="0.25">
      <c r="A518" s="218">
        <f t="shared" si="25"/>
        <v>21</v>
      </c>
      <c r="B518" s="36" t="s">
        <v>43</v>
      </c>
      <c r="C518" s="218"/>
      <c r="D518" s="31"/>
      <c r="E518" s="58"/>
      <c r="F518" s="249">
        <f t="shared" si="26"/>
        <v>0</v>
      </c>
    </row>
    <row r="519" spans="1:6" ht="29.25" x14ac:dyDescent="0.25">
      <c r="A519" s="218">
        <f t="shared" si="25"/>
        <v>22</v>
      </c>
      <c r="B519" s="36" t="s">
        <v>44</v>
      </c>
      <c r="C519" s="218" t="s">
        <v>71</v>
      </c>
      <c r="D519" s="31">
        <v>6</v>
      </c>
      <c r="E519" s="58">
        <v>121019</v>
      </c>
      <c r="F519" s="249">
        <f t="shared" si="26"/>
        <v>726114</v>
      </c>
    </row>
    <row r="520" spans="1:6" ht="29.25" x14ac:dyDescent="0.25">
      <c r="A520" s="218">
        <f t="shared" si="25"/>
        <v>23</v>
      </c>
      <c r="B520" s="36" t="s">
        <v>45</v>
      </c>
      <c r="C520" s="218" t="s">
        <v>71</v>
      </c>
      <c r="D520" s="31">
        <v>38</v>
      </c>
      <c r="E520" s="58">
        <v>22197</v>
      </c>
      <c r="F520" s="249">
        <f t="shared" si="26"/>
        <v>843486</v>
      </c>
    </row>
    <row r="521" spans="1:6" ht="29.25" x14ac:dyDescent="0.25">
      <c r="A521" s="218">
        <f t="shared" si="25"/>
        <v>24</v>
      </c>
      <c r="B521" s="36" t="s">
        <v>161</v>
      </c>
      <c r="C521" s="218" t="s">
        <v>71</v>
      </c>
      <c r="D521" s="31">
        <v>20</v>
      </c>
      <c r="E521" s="58">
        <v>134520</v>
      </c>
      <c r="F521" s="249">
        <f t="shared" si="26"/>
        <v>2690400</v>
      </c>
    </row>
    <row r="522" spans="1:6" x14ac:dyDescent="0.25">
      <c r="A522" s="218">
        <f t="shared" si="25"/>
        <v>25</v>
      </c>
      <c r="B522" s="36" t="s">
        <v>48</v>
      </c>
      <c r="C522" s="218"/>
      <c r="D522" s="31"/>
      <c r="E522" s="58"/>
      <c r="F522" s="249">
        <f t="shared" si="26"/>
        <v>0</v>
      </c>
    </row>
    <row r="523" spans="1:6" ht="43.5" x14ac:dyDescent="0.25">
      <c r="A523" s="218">
        <f t="shared" si="25"/>
        <v>26</v>
      </c>
      <c r="B523" s="36" t="s">
        <v>86</v>
      </c>
      <c r="C523" s="218" t="s">
        <v>71</v>
      </c>
      <c r="D523" s="31">
        <v>2.5</v>
      </c>
      <c r="E523" s="58">
        <v>607296</v>
      </c>
      <c r="F523" s="249">
        <f t="shared" si="26"/>
        <v>1518240</v>
      </c>
    </row>
    <row r="524" spans="1:6" ht="43.5" x14ac:dyDescent="0.25">
      <c r="A524" s="218">
        <f t="shared" si="25"/>
        <v>27</v>
      </c>
      <c r="B524" s="36" t="s">
        <v>170</v>
      </c>
      <c r="C524" s="218" t="s">
        <v>71</v>
      </c>
      <c r="D524" s="31">
        <v>8</v>
      </c>
      <c r="E524" s="58">
        <v>824735</v>
      </c>
      <c r="F524" s="249">
        <f t="shared" si="26"/>
        <v>6597880</v>
      </c>
    </row>
    <row r="525" spans="1:6" x14ac:dyDescent="0.25">
      <c r="A525" s="218">
        <f t="shared" si="25"/>
        <v>28</v>
      </c>
      <c r="B525" s="36" t="s">
        <v>171</v>
      </c>
      <c r="C525" s="218"/>
      <c r="D525" s="31"/>
      <c r="E525" s="58"/>
      <c r="F525" s="249">
        <f t="shared" si="26"/>
        <v>0</v>
      </c>
    </row>
    <row r="526" spans="1:6" ht="29.25" x14ac:dyDescent="0.25">
      <c r="A526" s="218">
        <f t="shared" si="25"/>
        <v>29</v>
      </c>
      <c r="B526" s="36" t="s">
        <v>172</v>
      </c>
      <c r="C526" s="218" t="s">
        <v>53</v>
      </c>
      <c r="D526" s="31">
        <v>360</v>
      </c>
      <c r="E526" s="58">
        <v>5922</v>
      </c>
      <c r="F526" s="249">
        <f t="shared" si="26"/>
        <v>2131920</v>
      </c>
    </row>
    <row r="527" spans="1:6" x14ac:dyDescent="0.25">
      <c r="A527" s="216"/>
      <c r="B527" s="18" t="s">
        <v>56</v>
      </c>
      <c r="C527" s="54"/>
      <c r="D527" s="130"/>
      <c r="E527" s="28"/>
      <c r="F527" s="28">
        <f>ROUND((F526+F525+F524+F523+F522+F521+F520+F519+F518+F517+F516+F515+F514+F513+F512+F511+F510+F509+F508+F507+F506+F505+F504+F503+F502+F501+F500+F499),0)</f>
        <v>31572747</v>
      </c>
    </row>
    <row r="528" spans="1:6" x14ac:dyDescent="0.25">
      <c r="A528" s="19"/>
      <c r="B528" s="19" t="s">
        <v>60</v>
      </c>
      <c r="C528" s="19"/>
      <c r="D528" s="19"/>
      <c r="E528" s="19"/>
      <c r="F528" s="29">
        <f>ROUND(F527/1.3495,0)</f>
        <v>23395885</v>
      </c>
    </row>
    <row r="529" spans="1:6" x14ac:dyDescent="0.25">
      <c r="A529" s="19"/>
      <c r="B529" s="19" t="s">
        <v>61</v>
      </c>
      <c r="C529" s="131">
        <v>0.24</v>
      </c>
      <c r="D529" s="19"/>
      <c r="E529" s="19"/>
      <c r="F529" s="29">
        <f>ROUND(F528*C529,0)</f>
        <v>5615012</v>
      </c>
    </row>
    <row r="530" spans="1:6" x14ac:dyDescent="0.25">
      <c r="A530" s="19"/>
      <c r="B530" s="19" t="s">
        <v>57</v>
      </c>
      <c r="C530" s="131">
        <v>0.05</v>
      </c>
      <c r="D530" s="19"/>
      <c r="E530" s="19"/>
      <c r="F530" s="29">
        <f>ROUND(F528*C530,0)</f>
        <v>1169794</v>
      </c>
    </row>
    <row r="531" spans="1:6" x14ac:dyDescent="0.25">
      <c r="A531" s="19"/>
      <c r="B531" s="19" t="s">
        <v>62</v>
      </c>
      <c r="C531" s="131">
        <v>0.05</v>
      </c>
      <c r="D531" s="19"/>
      <c r="E531" s="19"/>
      <c r="F531" s="29">
        <f>ROUND(F528*C531,0)</f>
        <v>1169794</v>
      </c>
    </row>
    <row r="532" spans="1:6" ht="29.25" x14ac:dyDescent="0.25">
      <c r="A532" s="19"/>
      <c r="B532" s="13" t="s">
        <v>63</v>
      </c>
      <c r="C532" s="133">
        <v>0.19</v>
      </c>
      <c r="D532" s="120"/>
      <c r="E532" s="120"/>
      <c r="F532" s="35">
        <f>ROUND(F531*19%,0)</f>
        <v>222261</v>
      </c>
    </row>
    <row r="533" spans="1:6" x14ac:dyDescent="0.25">
      <c r="A533" s="19"/>
      <c r="B533" s="18" t="s">
        <v>56</v>
      </c>
      <c r="C533" s="19"/>
      <c r="D533" s="19"/>
      <c r="E533" s="19"/>
      <c r="F533" s="30">
        <f>SUM(F528:F532)</f>
        <v>31572746</v>
      </c>
    </row>
    <row r="535" spans="1:6" x14ac:dyDescent="0.25">
      <c r="A535" s="434" t="s">
        <v>173</v>
      </c>
      <c r="B535" s="434"/>
      <c r="C535" s="434"/>
      <c r="D535" s="434"/>
      <c r="E535" s="434"/>
      <c r="F535" s="434"/>
    </row>
    <row r="536" spans="1:6" x14ac:dyDescent="0.25">
      <c r="A536" s="260" t="s">
        <v>10</v>
      </c>
      <c r="B536" s="256" t="s">
        <v>0</v>
      </c>
      <c r="C536" s="256" t="s">
        <v>11</v>
      </c>
      <c r="D536" s="256" t="s">
        <v>12</v>
      </c>
      <c r="E536" s="256"/>
      <c r="F536" s="256"/>
    </row>
    <row r="537" spans="1:6" x14ac:dyDescent="0.25">
      <c r="A537" s="260"/>
      <c r="B537" s="256"/>
      <c r="C537" s="256"/>
      <c r="D537" s="256" t="s">
        <v>13</v>
      </c>
      <c r="E537" s="256" t="s">
        <v>14</v>
      </c>
      <c r="F537" s="256" t="s">
        <v>15</v>
      </c>
    </row>
    <row r="538" spans="1:6" x14ac:dyDescent="0.25">
      <c r="A538" s="218">
        <f t="shared" ref="A538:A560" si="27">A537+1</f>
        <v>1</v>
      </c>
      <c r="B538" s="258" t="s">
        <v>16</v>
      </c>
      <c r="C538" s="256"/>
      <c r="D538" s="256"/>
      <c r="E538" s="256"/>
      <c r="F538" s="256"/>
    </row>
    <row r="539" spans="1:6" ht="29.25" x14ac:dyDescent="0.25">
      <c r="A539" s="218">
        <f t="shared" si="27"/>
        <v>2</v>
      </c>
      <c r="B539" s="36" t="s">
        <v>174</v>
      </c>
      <c r="C539" s="261" t="s">
        <v>18</v>
      </c>
      <c r="D539" s="270">
        <v>90</v>
      </c>
      <c r="E539" s="271">
        <v>5230</v>
      </c>
      <c r="F539" s="249">
        <f t="shared" ref="F539:F560" si="28">ROUND(D539*E539,0)</f>
        <v>470700</v>
      </c>
    </row>
    <row r="540" spans="1:6" ht="29.25" x14ac:dyDescent="0.25">
      <c r="A540" s="218">
        <f t="shared" si="27"/>
        <v>3</v>
      </c>
      <c r="B540" s="36" t="s">
        <v>22</v>
      </c>
      <c r="C540" s="261" t="s">
        <v>23</v>
      </c>
      <c r="D540" s="270">
        <v>2</v>
      </c>
      <c r="E540" s="271">
        <v>155814</v>
      </c>
      <c r="F540" s="249">
        <f t="shared" si="28"/>
        <v>311628</v>
      </c>
    </row>
    <row r="541" spans="1:6" ht="57.75" x14ac:dyDescent="0.25">
      <c r="A541" s="218">
        <f t="shared" si="27"/>
        <v>4</v>
      </c>
      <c r="B541" s="36" t="s">
        <v>144</v>
      </c>
      <c r="C541" s="261" t="s">
        <v>18</v>
      </c>
      <c r="D541" s="270">
        <v>192</v>
      </c>
      <c r="E541" s="271">
        <v>6835</v>
      </c>
      <c r="F541" s="249">
        <f t="shared" si="28"/>
        <v>1312320</v>
      </c>
    </row>
    <row r="542" spans="1:6" x14ac:dyDescent="0.25">
      <c r="A542" s="218">
        <f t="shared" si="27"/>
        <v>5</v>
      </c>
      <c r="B542" s="258" t="s">
        <v>25</v>
      </c>
      <c r="C542" s="261"/>
      <c r="D542" s="270"/>
      <c r="E542" s="271"/>
      <c r="F542" s="249">
        <f t="shared" si="28"/>
        <v>0</v>
      </c>
    </row>
    <row r="543" spans="1:6" ht="29.25" x14ac:dyDescent="0.25">
      <c r="A543" s="218">
        <f t="shared" si="27"/>
        <v>6</v>
      </c>
      <c r="B543" s="36" t="s">
        <v>26</v>
      </c>
      <c r="C543" s="261" t="s">
        <v>18</v>
      </c>
      <c r="D543" s="270">
        <v>460</v>
      </c>
      <c r="E543" s="271">
        <v>7652</v>
      </c>
      <c r="F543" s="249">
        <f t="shared" si="28"/>
        <v>3519920</v>
      </c>
    </row>
    <row r="544" spans="1:6" ht="72" x14ac:dyDescent="0.25">
      <c r="A544" s="218">
        <f t="shared" si="27"/>
        <v>7</v>
      </c>
      <c r="B544" s="36" t="s">
        <v>78</v>
      </c>
      <c r="C544" s="261" t="s">
        <v>71</v>
      </c>
      <c r="D544" s="270">
        <v>17</v>
      </c>
      <c r="E544" s="271">
        <v>83560</v>
      </c>
      <c r="F544" s="249">
        <f t="shared" si="28"/>
        <v>1420520</v>
      </c>
    </row>
    <row r="545" spans="1:6" x14ac:dyDescent="0.25">
      <c r="A545" s="218">
        <f t="shared" si="27"/>
        <v>8</v>
      </c>
      <c r="B545" s="258" t="s">
        <v>28</v>
      </c>
      <c r="C545" s="261"/>
      <c r="D545" s="270"/>
      <c r="E545" s="271"/>
      <c r="F545" s="249">
        <f t="shared" si="28"/>
        <v>0</v>
      </c>
    </row>
    <row r="546" spans="1:6" ht="29.25" x14ac:dyDescent="0.25">
      <c r="A546" s="218">
        <f t="shared" si="27"/>
        <v>9</v>
      </c>
      <c r="B546" s="36" t="s">
        <v>79</v>
      </c>
      <c r="C546" s="261" t="s">
        <v>71</v>
      </c>
      <c r="D546" s="270">
        <v>53</v>
      </c>
      <c r="E546" s="271">
        <v>26395</v>
      </c>
      <c r="F546" s="249">
        <f t="shared" si="28"/>
        <v>1398935</v>
      </c>
    </row>
    <row r="547" spans="1:6" ht="43.5" x14ac:dyDescent="0.25">
      <c r="A547" s="218">
        <f t="shared" si="27"/>
        <v>10</v>
      </c>
      <c r="B547" s="36" t="s">
        <v>32</v>
      </c>
      <c r="C547" s="261" t="s">
        <v>71</v>
      </c>
      <c r="D547" s="270">
        <v>18</v>
      </c>
      <c r="E547" s="271">
        <v>30775</v>
      </c>
      <c r="F547" s="249">
        <f t="shared" si="28"/>
        <v>553950</v>
      </c>
    </row>
    <row r="548" spans="1:6" ht="30" x14ac:dyDescent="0.25">
      <c r="A548" s="218">
        <f t="shared" si="27"/>
        <v>11</v>
      </c>
      <c r="B548" s="263" t="s">
        <v>80</v>
      </c>
      <c r="C548" s="261"/>
      <c r="D548" s="270"/>
      <c r="E548" s="271"/>
      <c r="F548" s="249">
        <f t="shared" si="28"/>
        <v>0</v>
      </c>
    </row>
    <row r="549" spans="1:6" ht="29.25" x14ac:dyDescent="0.25">
      <c r="A549" s="218">
        <f t="shared" si="27"/>
        <v>12</v>
      </c>
      <c r="B549" s="36" t="s">
        <v>175</v>
      </c>
      <c r="C549" s="261" t="s">
        <v>18</v>
      </c>
      <c r="D549" s="270">
        <v>90</v>
      </c>
      <c r="E549" s="271">
        <v>7924</v>
      </c>
      <c r="F549" s="249">
        <f t="shared" si="28"/>
        <v>713160</v>
      </c>
    </row>
    <row r="550" spans="1:6" ht="57.75" x14ac:dyDescent="0.25">
      <c r="A550" s="218">
        <f t="shared" si="27"/>
        <v>13</v>
      </c>
      <c r="B550" s="36" t="s">
        <v>82</v>
      </c>
      <c r="C550" s="261" t="s">
        <v>37</v>
      </c>
      <c r="D550" s="270">
        <v>27</v>
      </c>
      <c r="E550" s="271">
        <v>42039</v>
      </c>
      <c r="F550" s="249">
        <f t="shared" si="28"/>
        <v>1135053</v>
      </c>
    </row>
    <row r="551" spans="1:6" ht="29.25" x14ac:dyDescent="0.25">
      <c r="A551" s="218">
        <f t="shared" si="27"/>
        <v>14</v>
      </c>
      <c r="B551" s="36" t="s">
        <v>176</v>
      </c>
      <c r="C551" s="261" t="s">
        <v>37</v>
      </c>
      <c r="D551" s="270">
        <v>1</v>
      </c>
      <c r="E551" s="271">
        <v>210191</v>
      </c>
      <c r="F551" s="249">
        <f t="shared" si="28"/>
        <v>210191</v>
      </c>
    </row>
    <row r="552" spans="1:6" ht="72" x14ac:dyDescent="0.25">
      <c r="A552" s="218">
        <f t="shared" si="27"/>
        <v>15</v>
      </c>
      <c r="B552" s="36" t="s">
        <v>177</v>
      </c>
      <c r="C552" s="261" t="s">
        <v>37</v>
      </c>
      <c r="D552" s="270">
        <v>2</v>
      </c>
      <c r="E552" s="271">
        <v>90583</v>
      </c>
      <c r="F552" s="249">
        <f t="shared" si="28"/>
        <v>181166</v>
      </c>
    </row>
    <row r="553" spans="1:6" ht="85.5" x14ac:dyDescent="0.25">
      <c r="A553" s="218">
        <f t="shared" si="27"/>
        <v>16</v>
      </c>
      <c r="B553" s="269" t="s">
        <v>159</v>
      </c>
      <c r="C553" s="261" t="s">
        <v>37</v>
      </c>
      <c r="D553" s="270">
        <v>1</v>
      </c>
      <c r="E553" s="271">
        <v>345600</v>
      </c>
      <c r="F553" s="249">
        <f t="shared" si="28"/>
        <v>345600</v>
      </c>
    </row>
    <row r="554" spans="1:6" x14ac:dyDescent="0.25">
      <c r="A554" s="218">
        <f t="shared" si="27"/>
        <v>17</v>
      </c>
      <c r="B554" s="258" t="s">
        <v>43</v>
      </c>
      <c r="C554" s="261"/>
      <c r="D554" s="270"/>
      <c r="E554" s="271"/>
      <c r="F554" s="249">
        <f t="shared" si="28"/>
        <v>0</v>
      </c>
    </row>
    <row r="555" spans="1:6" ht="29.25" x14ac:dyDescent="0.25">
      <c r="A555" s="218">
        <f t="shared" si="27"/>
        <v>18</v>
      </c>
      <c r="B555" s="36" t="s">
        <v>44</v>
      </c>
      <c r="C555" s="261" t="s">
        <v>71</v>
      </c>
      <c r="D555" s="270">
        <v>7</v>
      </c>
      <c r="E555" s="271">
        <v>121019</v>
      </c>
      <c r="F555" s="249">
        <f t="shared" si="28"/>
        <v>847133</v>
      </c>
    </row>
    <row r="556" spans="1:6" ht="29.25" x14ac:dyDescent="0.25">
      <c r="A556" s="218">
        <f t="shared" si="27"/>
        <v>19</v>
      </c>
      <c r="B556" s="36" t="s">
        <v>45</v>
      </c>
      <c r="C556" s="261" t="s">
        <v>71</v>
      </c>
      <c r="D556" s="270">
        <v>53</v>
      </c>
      <c r="E556" s="271">
        <v>22197</v>
      </c>
      <c r="F556" s="249">
        <f t="shared" si="28"/>
        <v>1176441</v>
      </c>
    </row>
    <row r="557" spans="1:6" ht="29.25" x14ac:dyDescent="0.25">
      <c r="A557" s="218">
        <f t="shared" si="27"/>
        <v>20</v>
      </c>
      <c r="B557" s="36" t="s">
        <v>161</v>
      </c>
      <c r="C557" s="261" t="s">
        <v>71</v>
      </c>
      <c r="D557" s="270">
        <v>17</v>
      </c>
      <c r="E557" s="271">
        <v>145281</v>
      </c>
      <c r="F557" s="249">
        <f t="shared" si="28"/>
        <v>2469777</v>
      </c>
    </row>
    <row r="558" spans="1:6" x14ac:dyDescent="0.25">
      <c r="A558" s="218">
        <f t="shared" si="27"/>
        <v>21</v>
      </c>
      <c r="B558" s="258" t="s">
        <v>48</v>
      </c>
      <c r="C558" s="261"/>
      <c r="D558" s="270"/>
      <c r="E558" s="271"/>
      <c r="F558" s="249">
        <f t="shared" si="28"/>
        <v>0</v>
      </c>
    </row>
    <row r="559" spans="1:6" ht="43.5" x14ac:dyDescent="0.25">
      <c r="A559" s="218">
        <f t="shared" si="27"/>
        <v>22</v>
      </c>
      <c r="B559" s="36" t="s">
        <v>86</v>
      </c>
      <c r="C559" s="261" t="s">
        <v>71</v>
      </c>
      <c r="D559" s="270">
        <v>0.5</v>
      </c>
      <c r="E559" s="271">
        <v>607296</v>
      </c>
      <c r="F559" s="249">
        <f t="shared" si="28"/>
        <v>303648</v>
      </c>
    </row>
    <row r="560" spans="1:6" ht="29.25" x14ac:dyDescent="0.25">
      <c r="A560" s="218">
        <f t="shared" si="27"/>
        <v>23</v>
      </c>
      <c r="B560" s="36" t="s">
        <v>87</v>
      </c>
      <c r="C560" s="261" t="s">
        <v>71</v>
      </c>
      <c r="D560" s="270">
        <v>17</v>
      </c>
      <c r="E560" s="271">
        <v>824735</v>
      </c>
      <c r="F560" s="249">
        <f t="shared" si="28"/>
        <v>14020495</v>
      </c>
    </row>
    <row r="561" spans="1:6" x14ac:dyDescent="0.25">
      <c r="A561" s="218"/>
      <c r="B561" s="18" t="s">
        <v>56</v>
      </c>
      <c r="C561" s="54"/>
      <c r="D561" s="130"/>
      <c r="E561" s="28"/>
      <c r="F561" s="28">
        <f>ROUND((F560+F559+F558+F557+F556+F555+F554+F553+F552+F551+F550+F549+F548+F547+F546+F545+F544+F543+F542+F541+F540+F539),0)</f>
        <v>30390637</v>
      </c>
    </row>
    <row r="562" spans="1:6" x14ac:dyDescent="0.25">
      <c r="A562" s="218"/>
      <c r="B562" s="19" t="s">
        <v>60</v>
      </c>
      <c r="C562" s="19"/>
      <c r="D562" s="19"/>
      <c r="E562" s="19"/>
      <c r="F562" s="29">
        <f>ROUND(F561/1.3495,0)</f>
        <v>22519924</v>
      </c>
    </row>
    <row r="563" spans="1:6" x14ac:dyDescent="0.25">
      <c r="A563" s="218"/>
      <c r="B563" s="19" t="s">
        <v>61</v>
      </c>
      <c r="C563" s="131">
        <v>0.24</v>
      </c>
      <c r="D563" s="19"/>
      <c r="E563" s="19"/>
      <c r="F563" s="29">
        <f>ROUND(F562*C563,0)</f>
        <v>5404782</v>
      </c>
    </row>
    <row r="564" spans="1:6" x14ac:dyDescent="0.25">
      <c r="A564" s="218"/>
      <c r="B564" s="19" t="s">
        <v>57</v>
      </c>
      <c r="C564" s="131">
        <v>0.05</v>
      </c>
      <c r="D564" s="19"/>
      <c r="E564" s="19"/>
      <c r="F564" s="29">
        <f>ROUND(F562*C564,0)</f>
        <v>1125996</v>
      </c>
    </row>
    <row r="565" spans="1:6" x14ac:dyDescent="0.25">
      <c r="A565" s="218"/>
      <c r="B565" s="19" t="s">
        <v>62</v>
      </c>
      <c r="C565" s="131">
        <v>0.05</v>
      </c>
      <c r="D565" s="19"/>
      <c r="E565" s="19"/>
      <c r="F565" s="29">
        <f>ROUND(F562*C565,0)</f>
        <v>1125996</v>
      </c>
    </row>
    <row r="566" spans="1:6" ht="29.25" x14ac:dyDescent="0.25">
      <c r="A566" s="218"/>
      <c r="B566" s="13" t="s">
        <v>63</v>
      </c>
      <c r="C566" s="133">
        <v>0.19</v>
      </c>
      <c r="D566" s="120"/>
      <c r="E566" s="120"/>
      <c r="F566" s="35">
        <f>ROUND(F565*19%,0)</f>
        <v>213939</v>
      </c>
    </row>
    <row r="567" spans="1:6" x14ac:dyDescent="0.25">
      <c r="A567" s="19"/>
      <c r="B567" s="18" t="s">
        <v>56</v>
      </c>
      <c r="C567" s="19"/>
      <c r="D567" s="19"/>
      <c r="E567" s="19"/>
      <c r="F567" s="30">
        <f>SUM(F562:F566)</f>
        <v>30390637</v>
      </c>
    </row>
    <row r="569" spans="1:6" x14ac:dyDescent="0.25">
      <c r="A569" s="422" t="s">
        <v>178</v>
      </c>
      <c r="B569" s="422"/>
      <c r="C569" s="422"/>
      <c r="D569" s="422"/>
      <c r="E569" s="422"/>
      <c r="F569" s="422"/>
    </row>
    <row r="570" spans="1:6" x14ac:dyDescent="0.25">
      <c r="A570" s="420" t="s">
        <v>10</v>
      </c>
      <c r="B570" s="420" t="s">
        <v>0</v>
      </c>
      <c r="C570" s="420" t="s">
        <v>11</v>
      </c>
      <c r="D570" s="420" t="s">
        <v>12</v>
      </c>
      <c r="E570" s="420"/>
      <c r="F570" s="420"/>
    </row>
    <row r="571" spans="1:6" x14ac:dyDescent="0.25">
      <c r="A571" s="420"/>
      <c r="B571" s="420"/>
      <c r="C571" s="420"/>
      <c r="D571" s="54" t="s">
        <v>13</v>
      </c>
      <c r="E571" s="54" t="s">
        <v>14</v>
      </c>
      <c r="F571" s="54" t="s">
        <v>15</v>
      </c>
    </row>
    <row r="572" spans="1:6" x14ac:dyDescent="0.25">
      <c r="A572" s="218">
        <f t="shared" ref="A572:A596" si="29">A571+1</f>
        <v>1</v>
      </c>
      <c r="B572" s="18" t="s">
        <v>16</v>
      </c>
      <c r="C572" s="420"/>
      <c r="D572" s="420"/>
      <c r="E572" s="420"/>
      <c r="F572" s="20"/>
    </row>
    <row r="573" spans="1:6" ht="29.25" x14ac:dyDescent="0.25">
      <c r="A573" s="218">
        <f t="shared" si="29"/>
        <v>2</v>
      </c>
      <c r="B573" s="17" t="s">
        <v>91</v>
      </c>
      <c r="C573" s="218" t="s">
        <v>18</v>
      </c>
      <c r="D573" s="31">
        <v>102</v>
      </c>
      <c r="E573" s="58">
        <v>5230</v>
      </c>
      <c r="F573" s="249">
        <f t="shared" ref="F573:F596" si="30">ROUND(D573*E573,0)</f>
        <v>533460</v>
      </c>
    </row>
    <row r="574" spans="1:6" ht="42.75" x14ac:dyDescent="0.25">
      <c r="A574" s="218">
        <f t="shared" si="29"/>
        <v>3</v>
      </c>
      <c r="B574" s="9" t="s">
        <v>21</v>
      </c>
      <c r="C574" s="218" t="s">
        <v>18</v>
      </c>
      <c r="D574" s="31">
        <v>216</v>
      </c>
      <c r="E574" s="59">
        <v>13608</v>
      </c>
      <c r="F574" s="249">
        <f t="shared" si="30"/>
        <v>2939328</v>
      </c>
    </row>
    <row r="575" spans="1:6" ht="29.25" x14ac:dyDescent="0.25">
      <c r="A575" s="218">
        <f t="shared" si="29"/>
        <v>4</v>
      </c>
      <c r="B575" s="17" t="s">
        <v>22</v>
      </c>
      <c r="C575" s="218" t="s">
        <v>23</v>
      </c>
      <c r="D575" s="31">
        <v>2</v>
      </c>
      <c r="E575" s="58">
        <v>155814</v>
      </c>
      <c r="F575" s="249">
        <f t="shared" si="30"/>
        <v>311628</v>
      </c>
    </row>
    <row r="576" spans="1:6" x14ac:dyDescent="0.25">
      <c r="A576" s="218">
        <f t="shared" si="29"/>
        <v>5</v>
      </c>
      <c r="B576" s="18" t="s">
        <v>25</v>
      </c>
      <c r="C576" s="20"/>
      <c r="D576" s="20"/>
      <c r="E576" s="243">
        <v>0</v>
      </c>
      <c r="F576" s="249">
        <f t="shared" si="30"/>
        <v>0</v>
      </c>
    </row>
    <row r="577" spans="1:6" ht="29.25" x14ac:dyDescent="0.25">
      <c r="A577" s="218">
        <f t="shared" si="29"/>
        <v>6</v>
      </c>
      <c r="B577" s="56" t="s">
        <v>26</v>
      </c>
      <c r="C577" s="218" t="s">
        <v>18</v>
      </c>
      <c r="D577" s="31">
        <v>372</v>
      </c>
      <c r="E577" s="58">
        <v>7652</v>
      </c>
      <c r="F577" s="249">
        <f t="shared" si="30"/>
        <v>2846544</v>
      </c>
    </row>
    <row r="578" spans="1:6" ht="72" x14ac:dyDescent="0.25">
      <c r="A578" s="218">
        <f t="shared" si="29"/>
        <v>7</v>
      </c>
      <c r="B578" s="17" t="s">
        <v>78</v>
      </c>
      <c r="C578" s="218" t="s">
        <v>64</v>
      </c>
      <c r="D578" s="31">
        <v>15</v>
      </c>
      <c r="E578" s="58">
        <v>83560</v>
      </c>
      <c r="F578" s="249">
        <f t="shared" si="30"/>
        <v>1253400</v>
      </c>
    </row>
    <row r="579" spans="1:6" x14ac:dyDescent="0.25">
      <c r="A579" s="218">
        <f t="shared" si="29"/>
        <v>8</v>
      </c>
      <c r="B579" s="18" t="s">
        <v>28</v>
      </c>
      <c r="C579" s="20"/>
      <c r="D579" s="20"/>
      <c r="E579" s="243">
        <v>0</v>
      </c>
      <c r="F579" s="249">
        <f t="shared" si="30"/>
        <v>0</v>
      </c>
    </row>
    <row r="580" spans="1:6" ht="29.25" x14ac:dyDescent="0.25">
      <c r="A580" s="218">
        <f t="shared" si="29"/>
        <v>9</v>
      </c>
      <c r="B580" s="17" t="s">
        <v>79</v>
      </c>
      <c r="C580" s="218" t="s">
        <v>64</v>
      </c>
      <c r="D580" s="31">
        <v>74</v>
      </c>
      <c r="E580" s="58">
        <v>26395</v>
      </c>
      <c r="F580" s="249">
        <f t="shared" si="30"/>
        <v>1953230</v>
      </c>
    </row>
    <row r="581" spans="1:6" ht="43.5" x14ac:dyDescent="0.25">
      <c r="A581" s="218">
        <f t="shared" si="29"/>
        <v>10</v>
      </c>
      <c r="B581" s="17" t="s">
        <v>32</v>
      </c>
      <c r="C581" s="218" t="s">
        <v>64</v>
      </c>
      <c r="D581" s="31">
        <v>49.39</v>
      </c>
      <c r="E581" s="58">
        <v>32848</v>
      </c>
      <c r="F581" s="249">
        <f t="shared" si="30"/>
        <v>1622363</v>
      </c>
    </row>
    <row r="582" spans="1:6" ht="30" x14ac:dyDescent="0.25">
      <c r="A582" s="218">
        <f t="shared" si="29"/>
        <v>11</v>
      </c>
      <c r="B582" s="188" t="s">
        <v>80</v>
      </c>
      <c r="C582" s="20"/>
      <c r="D582" s="20"/>
      <c r="E582" s="243">
        <v>0</v>
      </c>
      <c r="F582" s="249">
        <f t="shared" si="30"/>
        <v>0</v>
      </c>
    </row>
    <row r="583" spans="1:6" ht="29.25" x14ac:dyDescent="0.25">
      <c r="A583" s="218">
        <f t="shared" si="29"/>
        <v>12</v>
      </c>
      <c r="B583" s="17" t="s">
        <v>90</v>
      </c>
      <c r="C583" s="217" t="s">
        <v>18</v>
      </c>
      <c r="D583" s="272">
        <v>102</v>
      </c>
      <c r="E583" s="273">
        <v>5945</v>
      </c>
      <c r="F583" s="249">
        <f t="shared" si="30"/>
        <v>606390</v>
      </c>
    </row>
    <row r="584" spans="1:6" ht="57.75" x14ac:dyDescent="0.25">
      <c r="A584" s="218">
        <f t="shared" si="29"/>
        <v>13</v>
      </c>
      <c r="B584" s="17" t="s">
        <v>82</v>
      </c>
      <c r="C584" s="217" t="s">
        <v>37</v>
      </c>
      <c r="D584" s="272">
        <v>14</v>
      </c>
      <c r="E584" s="273">
        <v>42039</v>
      </c>
      <c r="F584" s="249">
        <f t="shared" si="30"/>
        <v>588546</v>
      </c>
    </row>
    <row r="585" spans="1:6" x14ac:dyDescent="0.25">
      <c r="A585" s="218">
        <f t="shared" si="29"/>
        <v>14</v>
      </c>
      <c r="B585" s="57" t="s">
        <v>83</v>
      </c>
      <c r="C585" s="217" t="s">
        <v>37</v>
      </c>
      <c r="D585" s="272">
        <v>1</v>
      </c>
      <c r="E585" s="273">
        <v>210191</v>
      </c>
      <c r="F585" s="249">
        <f t="shared" si="30"/>
        <v>210191</v>
      </c>
    </row>
    <row r="586" spans="1:6" ht="85.5" x14ac:dyDescent="0.25">
      <c r="A586" s="218">
        <f t="shared" si="29"/>
        <v>15</v>
      </c>
      <c r="B586" s="9" t="s">
        <v>159</v>
      </c>
      <c r="C586" s="218" t="s">
        <v>37</v>
      </c>
      <c r="D586" s="31">
        <v>1</v>
      </c>
      <c r="E586" s="58">
        <v>345600</v>
      </c>
      <c r="F586" s="249">
        <f t="shared" si="30"/>
        <v>345600</v>
      </c>
    </row>
    <row r="587" spans="1:6" ht="29.25" x14ac:dyDescent="0.25">
      <c r="A587" s="218">
        <f t="shared" si="29"/>
        <v>16</v>
      </c>
      <c r="B587" s="17" t="s">
        <v>85</v>
      </c>
      <c r="C587" s="218" t="s">
        <v>23</v>
      </c>
      <c r="D587" s="31">
        <v>2</v>
      </c>
      <c r="E587" s="58">
        <v>90583</v>
      </c>
      <c r="F587" s="249">
        <f t="shared" si="30"/>
        <v>181166</v>
      </c>
    </row>
    <row r="588" spans="1:6" x14ac:dyDescent="0.25">
      <c r="A588" s="218">
        <f t="shared" si="29"/>
        <v>17</v>
      </c>
      <c r="B588" s="18" t="s">
        <v>43</v>
      </c>
      <c r="C588" s="20"/>
      <c r="D588" s="20"/>
      <c r="E588" s="243">
        <v>0</v>
      </c>
      <c r="F588" s="249">
        <f t="shared" si="30"/>
        <v>0</v>
      </c>
    </row>
    <row r="589" spans="1:6" ht="29.25" x14ac:dyDescent="0.25">
      <c r="A589" s="218">
        <f t="shared" si="29"/>
        <v>18</v>
      </c>
      <c r="B589" s="17" t="s">
        <v>44</v>
      </c>
      <c r="C589" s="218" t="s">
        <v>64</v>
      </c>
      <c r="D589" s="31">
        <v>12</v>
      </c>
      <c r="E589" s="58">
        <v>121019</v>
      </c>
      <c r="F589" s="249">
        <f t="shared" si="30"/>
        <v>1452228</v>
      </c>
    </row>
    <row r="590" spans="1:6" ht="29.25" x14ac:dyDescent="0.25">
      <c r="A590" s="218">
        <f t="shared" si="29"/>
        <v>19</v>
      </c>
      <c r="B590" s="17" t="s">
        <v>45</v>
      </c>
      <c r="C590" s="218" t="s">
        <v>64</v>
      </c>
      <c r="D590" s="31">
        <v>40</v>
      </c>
      <c r="E590" s="58">
        <v>22197</v>
      </c>
      <c r="F590" s="249">
        <f t="shared" si="30"/>
        <v>887880</v>
      </c>
    </row>
    <row r="591" spans="1:6" ht="29.25" x14ac:dyDescent="0.25">
      <c r="A591" s="218">
        <f t="shared" si="29"/>
        <v>20</v>
      </c>
      <c r="B591" s="17" t="s">
        <v>179</v>
      </c>
      <c r="C591" s="218" t="s">
        <v>64</v>
      </c>
      <c r="D591" s="31">
        <v>21</v>
      </c>
      <c r="E591" s="58">
        <v>145281</v>
      </c>
      <c r="F591" s="249">
        <f t="shared" si="30"/>
        <v>3050901</v>
      </c>
    </row>
    <row r="592" spans="1:6" x14ac:dyDescent="0.25">
      <c r="A592" s="218">
        <f t="shared" si="29"/>
        <v>21</v>
      </c>
      <c r="B592" s="18" t="s">
        <v>48</v>
      </c>
      <c r="C592" s="20"/>
      <c r="D592" s="20"/>
      <c r="E592" s="58">
        <v>0</v>
      </c>
      <c r="F592" s="249">
        <f t="shared" si="30"/>
        <v>0</v>
      </c>
    </row>
    <row r="593" spans="1:11" ht="43.5" x14ac:dyDescent="0.25">
      <c r="A593" s="218">
        <f t="shared" si="29"/>
        <v>22</v>
      </c>
      <c r="B593" s="17" t="s">
        <v>86</v>
      </c>
      <c r="C593" s="218" t="s">
        <v>64</v>
      </c>
      <c r="D593" s="31">
        <v>0.5</v>
      </c>
      <c r="E593" s="58">
        <v>607296</v>
      </c>
      <c r="F593" s="249">
        <f t="shared" si="30"/>
        <v>303648</v>
      </c>
    </row>
    <row r="594" spans="1:11" ht="43.5" x14ac:dyDescent="0.25">
      <c r="A594" s="218">
        <f t="shared" si="29"/>
        <v>23</v>
      </c>
      <c r="B594" s="17" t="s">
        <v>50</v>
      </c>
      <c r="C594" s="218" t="s">
        <v>64</v>
      </c>
      <c r="D594" s="31">
        <v>15</v>
      </c>
      <c r="E594" s="58">
        <v>824735</v>
      </c>
      <c r="F594" s="249">
        <f t="shared" si="30"/>
        <v>12371025</v>
      </c>
    </row>
    <row r="595" spans="1:11" x14ac:dyDescent="0.25">
      <c r="A595" s="218">
        <f t="shared" si="29"/>
        <v>24</v>
      </c>
      <c r="B595" s="18" t="s">
        <v>51</v>
      </c>
      <c r="C595" s="20"/>
      <c r="D595" s="20"/>
      <c r="E595" s="243">
        <v>0</v>
      </c>
      <c r="F595" s="249">
        <f t="shared" si="30"/>
        <v>0</v>
      </c>
    </row>
    <row r="596" spans="1:11" ht="29.25" x14ac:dyDescent="0.25">
      <c r="A596" s="218">
        <f t="shared" si="29"/>
        <v>25</v>
      </c>
      <c r="B596" s="17" t="s">
        <v>88</v>
      </c>
      <c r="C596" s="217" t="s">
        <v>53</v>
      </c>
      <c r="D596" s="272">
        <v>36</v>
      </c>
      <c r="E596" s="273">
        <v>5922</v>
      </c>
      <c r="F596" s="249">
        <f t="shared" si="30"/>
        <v>213192</v>
      </c>
      <c r="K596" s="80"/>
    </row>
    <row r="597" spans="1:11" x14ac:dyDescent="0.25">
      <c r="A597" s="216"/>
      <c r="B597" s="18" t="s">
        <v>56</v>
      </c>
      <c r="C597" s="54"/>
      <c r="D597" s="130"/>
      <c r="E597" s="28"/>
      <c r="F597" s="28">
        <f>ROUND((F596+F595+F594+F593+F592+F591+F590+F589+F588+F587+F586+F585+F584+F583+F582+F581+F580+F579+F578+F577+F576+F575+F574+F573),0)</f>
        <v>31670720</v>
      </c>
    </row>
    <row r="598" spans="1:11" x14ac:dyDescent="0.25">
      <c r="A598" s="19"/>
      <c r="B598" s="19" t="s">
        <v>60</v>
      </c>
      <c r="C598" s="19"/>
      <c r="D598" s="19"/>
      <c r="E598" s="19"/>
      <c r="F598" s="29">
        <f>ROUND(F597/1.3495,0)</f>
        <v>23468485</v>
      </c>
    </row>
    <row r="599" spans="1:11" x14ac:dyDescent="0.25">
      <c r="A599" s="19"/>
      <c r="B599" s="19" t="s">
        <v>61</v>
      </c>
      <c r="C599" s="131">
        <v>0.24</v>
      </c>
      <c r="D599" s="19"/>
      <c r="E599" s="19"/>
      <c r="F599" s="29">
        <f>ROUND(F598*C599,0)</f>
        <v>5632436</v>
      </c>
    </row>
    <row r="600" spans="1:11" x14ac:dyDescent="0.25">
      <c r="A600" s="19"/>
      <c r="B600" s="19" t="s">
        <v>57</v>
      </c>
      <c r="C600" s="131">
        <v>0.05</v>
      </c>
      <c r="D600" s="19"/>
      <c r="E600" s="19"/>
      <c r="F600" s="29">
        <f>ROUND(F598*C600,0)</f>
        <v>1173424</v>
      </c>
    </row>
    <row r="601" spans="1:11" x14ac:dyDescent="0.25">
      <c r="A601" s="19"/>
      <c r="B601" s="19" t="s">
        <v>62</v>
      </c>
      <c r="C601" s="131">
        <v>0.05</v>
      </c>
      <c r="D601" s="19"/>
      <c r="E601" s="19"/>
      <c r="F601" s="29">
        <f>ROUND(F598*C601,0)</f>
        <v>1173424</v>
      </c>
    </row>
    <row r="602" spans="1:11" ht="29.25" x14ac:dyDescent="0.25">
      <c r="A602" s="19"/>
      <c r="B602" s="13" t="s">
        <v>63</v>
      </c>
      <c r="C602" s="133">
        <v>0.19</v>
      </c>
      <c r="D602" s="120"/>
      <c r="E602" s="120"/>
      <c r="F602" s="35">
        <f>ROUND(F601*19%,0)</f>
        <v>222951</v>
      </c>
    </row>
    <row r="603" spans="1:11" x14ac:dyDescent="0.25">
      <c r="A603" s="19"/>
      <c r="B603" s="18" t="s">
        <v>56</v>
      </c>
      <c r="C603" s="19"/>
      <c r="D603" s="19"/>
      <c r="E603" s="19"/>
      <c r="F603" s="30">
        <f>SUM(F598:F602)</f>
        <v>31670720</v>
      </c>
    </row>
    <row r="605" spans="1:11" x14ac:dyDescent="0.25">
      <c r="A605" s="422" t="s">
        <v>180</v>
      </c>
      <c r="B605" s="422"/>
      <c r="C605" s="422"/>
      <c r="D605" s="422"/>
      <c r="E605" s="422"/>
      <c r="F605" s="422"/>
    </row>
    <row r="606" spans="1:11" x14ac:dyDescent="0.25">
      <c r="A606" s="420" t="s">
        <v>10</v>
      </c>
      <c r="B606" s="420" t="s">
        <v>0</v>
      </c>
      <c r="C606" s="420" t="s">
        <v>11</v>
      </c>
      <c r="D606" s="420" t="s">
        <v>12</v>
      </c>
      <c r="E606" s="420"/>
      <c r="F606" s="420"/>
    </row>
    <row r="607" spans="1:11" x14ac:dyDescent="0.25">
      <c r="A607" s="420"/>
      <c r="B607" s="420"/>
      <c r="C607" s="420"/>
      <c r="D607" s="54" t="s">
        <v>13</v>
      </c>
      <c r="E607" s="54" t="s">
        <v>14</v>
      </c>
      <c r="F607" s="54" t="s">
        <v>15</v>
      </c>
    </row>
    <row r="608" spans="1:11" x14ac:dyDescent="0.25">
      <c r="A608" s="218">
        <f t="shared" ref="A608:A632" si="31">A607+1</f>
        <v>1</v>
      </c>
      <c r="B608" s="18" t="s">
        <v>16</v>
      </c>
      <c r="C608" s="420"/>
      <c r="D608" s="420"/>
      <c r="E608" s="420"/>
      <c r="F608" s="20"/>
    </row>
    <row r="609" spans="1:6" ht="43.5" x14ac:dyDescent="0.25">
      <c r="A609" s="218">
        <f t="shared" si="31"/>
        <v>2</v>
      </c>
      <c r="B609" s="17" t="s">
        <v>77</v>
      </c>
      <c r="C609" s="218" t="s">
        <v>18</v>
      </c>
      <c r="D609" s="31">
        <v>84</v>
      </c>
      <c r="E609" s="58">
        <v>5230</v>
      </c>
      <c r="F609" s="249">
        <f t="shared" ref="F609:F632" si="32">ROUND(D609*E609,0)</f>
        <v>439320</v>
      </c>
    </row>
    <row r="610" spans="1:6" ht="42.75" x14ac:dyDescent="0.25">
      <c r="A610" s="218">
        <f t="shared" si="31"/>
        <v>3</v>
      </c>
      <c r="B610" s="9" t="s">
        <v>21</v>
      </c>
      <c r="C610" s="218" t="s">
        <v>18</v>
      </c>
      <c r="D610" s="31">
        <v>180</v>
      </c>
      <c r="E610" s="59">
        <v>13608</v>
      </c>
      <c r="F610" s="249">
        <f t="shared" si="32"/>
        <v>2449440</v>
      </c>
    </row>
    <row r="611" spans="1:6" ht="29.25" x14ac:dyDescent="0.25">
      <c r="A611" s="218">
        <f t="shared" si="31"/>
        <v>4</v>
      </c>
      <c r="B611" s="17" t="s">
        <v>22</v>
      </c>
      <c r="C611" s="218" t="s">
        <v>23</v>
      </c>
      <c r="D611" s="31">
        <v>2</v>
      </c>
      <c r="E611" s="58">
        <v>155814</v>
      </c>
      <c r="F611" s="249">
        <f t="shared" si="32"/>
        <v>311628</v>
      </c>
    </row>
    <row r="612" spans="1:6" x14ac:dyDescent="0.25">
      <c r="A612" s="218">
        <f t="shared" si="31"/>
        <v>5</v>
      </c>
      <c r="B612" s="18" t="s">
        <v>25</v>
      </c>
      <c r="C612" s="20"/>
      <c r="D612" s="20"/>
      <c r="E612" s="58">
        <v>0</v>
      </c>
      <c r="F612" s="249">
        <f t="shared" si="32"/>
        <v>0</v>
      </c>
    </row>
    <row r="613" spans="1:6" ht="29.25" x14ac:dyDescent="0.25">
      <c r="A613" s="218">
        <f t="shared" si="31"/>
        <v>6</v>
      </c>
      <c r="B613" s="56" t="s">
        <v>26</v>
      </c>
      <c r="C613" s="218" t="s">
        <v>18</v>
      </c>
      <c r="D613" s="31">
        <v>408</v>
      </c>
      <c r="E613" s="58">
        <v>7652</v>
      </c>
      <c r="F613" s="249">
        <f t="shared" si="32"/>
        <v>3122016</v>
      </c>
    </row>
    <row r="614" spans="1:6" ht="72" x14ac:dyDescent="0.25">
      <c r="A614" s="218">
        <f t="shared" si="31"/>
        <v>7</v>
      </c>
      <c r="B614" s="17" t="s">
        <v>78</v>
      </c>
      <c r="C614" s="218" t="s">
        <v>64</v>
      </c>
      <c r="D614" s="31">
        <v>14</v>
      </c>
      <c r="E614" s="58">
        <v>83560</v>
      </c>
      <c r="F614" s="249">
        <f t="shared" si="32"/>
        <v>1169840</v>
      </c>
    </row>
    <row r="615" spans="1:6" x14ac:dyDescent="0.25">
      <c r="A615" s="218">
        <f t="shared" si="31"/>
        <v>8</v>
      </c>
      <c r="B615" s="18" t="s">
        <v>28</v>
      </c>
      <c r="C615" s="20"/>
      <c r="D615" s="20"/>
      <c r="E615" s="58">
        <v>0</v>
      </c>
      <c r="F615" s="249">
        <f t="shared" si="32"/>
        <v>0</v>
      </c>
    </row>
    <row r="616" spans="1:6" ht="29.25" x14ac:dyDescent="0.25">
      <c r="A616" s="218">
        <f t="shared" si="31"/>
        <v>9</v>
      </c>
      <c r="B616" s="17" t="s">
        <v>79</v>
      </c>
      <c r="C616" s="218" t="s">
        <v>64</v>
      </c>
      <c r="D616" s="31">
        <v>60</v>
      </c>
      <c r="E616" s="58">
        <v>26395</v>
      </c>
      <c r="F616" s="249">
        <f t="shared" si="32"/>
        <v>1583700</v>
      </c>
    </row>
    <row r="617" spans="1:6" ht="43.5" x14ac:dyDescent="0.25">
      <c r="A617" s="218">
        <f t="shared" si="31"/>
        <v>10</v>
      </c>
      <c r="B617" s="17" t="s">
        <v>32</v>
      </c>
      <c r="C617" s="218" t="s">
        <v>64</v>
      </c>
      <c r="D617" s="31">
        <v>42</v>
      </c>
      <c r="E617" s="58">
        <v>32848</v>
      </c>
      <c r="F617" s="249">
        <f t="shared" si="32"/>
        <v>1379616</v>
      </c>
    </row>
    <row r="618" spans="1:6" ht="30" x14ac:dyDescent="0.25">
      <c r="A618" s="218">
        <f t="shared" si="31"/>
        <v>11</v>
      </c>
      <c r="B618" s="188" t="s">
        <v>80</v>
      </c>
      <c r="C618" s="20"/>
      <c r="D618" s="20"/>
      <c r="E618" s="243">
        <v>0</v>
      </c>
      <c r="F618" s="249">
        <f t="shared" si="32"/>
        <v>0</v>
      </c>
    </row>
    <row r="619" spans="1:6" ht="29.25" x14ac:dyDescent="0.25">
      <c r="A619" s="218">
        <f t="shared" si="31"/>
        <v>12</v>
      </c>
      <c r="B619" s="17" t="s">
        <v>92</v>
      </c>
      <c r="C619" s="218" t="s">
        <v>18</v>
      </c>
      <c r="D619" s="31">
        <v>84</v>
      </c>
      <c r="E619" s="58">
        <v>3962</v>
      </c>
      <c r="F619" s="249">
        <f t="shared" si="32"/>
        <v>332808</v>
      </c>
    </row>
    <row r="620" spans="1:6" ht="57.75" x14ac:dyDescent="0.25">
      <c r="A620" s="218">
        <f t="shared" si="31"/>
        <v>13</v>
      </c>
      <c r="B620" s="17" t="s">
        <v>82</v>
      </c>
      <c r="C620" s="218" t="s">
        <v>37</v>
      </c>
      <c r="D620" s="31">
        <v>20</v>
      </c>
      <c r="E620" s="58">
        <v>42039</v>
      </c>
      <c r="F620" s="249">
        <f t="shared" si="32"/>
        <v>840780</v>
      </c>
    </row>
    <row r="621" spans="1:6" x14ac:dyDescent="0.25">
      <c r="A621" s="218">
        <f t="shared" si="31"/>
        <v>14</v>
      </c>
      <c r="B621" s="57" t="s">
        <v>83</v>
      </c>
      <c r="C621" s="218" t="s">
        <v>37</v>
      </c>
      <c r="D621" s="31">
        <v>1</v>
      </c>
      <c r="E621" s="58">
        <v>210191</v>
      </c>
      <c r="F621" s="249">
        <f t="shared" si="32"/>
        <v>210191</v>
      </c>
    </row>
    <row r="622" spans="1:6" ht="85.5" x14ac:dyDescent="0.25">
      <c r="A622" s="218">
        <f t="shared" si="31"/>
        <v>15</v>
      </c>
      <c r="B622" s="9" t="s">
        <v>84</v>
      </c>
      <c r="C622" s="218" t="s">
        <v>37</v>
      </c>
      <c r="D622" s="31">
        <v>1</v>
      </c>
      <c r="E622" s="58">
        <v>345600</v>
      </c>
      <c r="F622" s="249">
        <f t="shared" si="32"/>
        <v>345600</v>
      </c>
    </row>
    <row r="623" spans="1:6" ht="29.25" x14ac:dyDescent="0.25">
      <c r="A623" s="218">
        <f t="shared" si="31"/>
        <v>16</v>
      </c>
      <c r="B623" s="17" t="s">
        <v>85</v>
      </c>
      <c r="C623" s="218" t="s">
        <v>23</v>
      </c>
      <c r="D623" s="31">
        <v>2</v>
      </c>
      <c r="E623" s="58">
        <v>90583</v>
      </c>
      <c r="F623" s="249">
        <f t="shared" si="32"/>
        <v>181166</v>
      </c>
    </row>
    <row r="624" spans="1:6" x14ac:dyDescent="0.25">
      <c r="A624" s="218">
        <f t="shared" si="31"/>
        <v>17</v>
      </c>
      <c r="B624" s="18" t="s">
        <v>43</v>
      </c>
      <c r="C624" s="20"/>
      <c r="D624" s="20"/>
      <c r="E624" s="58">
        <v>0</v>
      </c>
      <c r="F624" s="249">
        <f t="shared" si="32"/>
        <v>0</v>
      </c>
    </row>
    <row r="625" spans="1:6" ht="29.25" x14ac:dyDescent="0.25">
      <c r="A625" s="218">
        <f t="shared" si="31"/>
        <v>18</v>
      </c>
      <c r="B625" s="17" t="s">
        <v>44</v>
      </c>
      <c r="C625" s="218" t="s">
        <v>64</v>
      </c>
      <c r="D625" s="31">
        <v>8</v>
      </c>
      <c r="E625" s="58">
        <v>121019</v>
      </c>
      <c r="F625" s="249">
        <f t="shared" si="32"/>
        <v>968152</v>
      </c>
    </row>
    <row r="626" spans="1:6" ht="29.25" x14ac:dyDescent="0.25">
      <c r="A626" s="218">
        <f t="shared" si="31"/>
        <v>19</v>
      </c>
      <c r="B626" s="17" t="s">
        <v>45</v>
      </c>
      <c r="C626" s="218" t="s">
        <v>64</v>
      </c>
      <c r="D626" s="31">
        <v>32</v>
      </c>
      <c r="E626" s="58">
        <v>22197</v>
      </c>
      <c r="F626" s="249">
        <f t="shared" si="32"/>
        <v>710304</v>
      </c>
    </row>
    <row r="627" spans="1:6" ht="29.25" x14ac:dyDescent="0.25">
      <c r="A627" s="218">
        <f t="shared" si="31"/>
        <v>20</v>
      </c>
      <c r="B627" s="17" t="s">
        <v>164</v>
      </c>
      <c r="C627" s="218" t="s">
        <v>64</v>
      </c>
      <c r="D627" s="31">
        <v>19</v>
      </c>
      <c r="E627" s="58">
        <v>145281</v>
      </c>
      <c r="F627" s="249">
        <f t="shared" si="32"/>
        <v>2760339</v>
      </c>
    </row>
    <row r="628" spans="1:6" x14ac:dyDescent="0.25">
      <c r="A628" s="218">
        <f t="shared" si="31"/>
        <v>21</v>
      </c>
      <c r="B628" s="18" t="s">
        <v>48</v>
      </c>
      <c r="C628" s="20"/>
      <c r="D628" s="20"/>
      <c r="E628" s="243">
        <v>0</v>
      </c>
      <c r="F628" s="249">
        <f t="shared" si="32"/>
        <v>0</v>
      </c>
    </row>
    <row r="629" spans="1:6" ht="43.5" x14ac:dyDescent="0.25">
      <c r="A629" s="218">
        <f t="shared" si="31"/>
        <v>22</v>
      </c>
      <c r="B629" s="17" t="s">
        <v>86</v>
      </c>
      <c r="C629" s="218" t="s">
        <v>64</v>
      </c>
      <c r="D629" s="31">
        <v>0.5</v>
      </c>
      <c r="E629" s="58">
        <v>607296</v>
      </c>
      <c r="F629" s="249">
        <f t="shared" si="32"/>
        <v>303648</v>
      </c>
    </row>
    <row r="630" spans="1:6" ht="43.5" x14ac:dyDescent="0.25">
      <c r="A630" s="218">
        <f t="shared" si="31"/>
        <v>23</v>
      </c>
      <c r="B630" s="17" t="s">
        <v>50</v>
      </c>
      <c r="C630" s="218" t="s">
        <v>64</v>
      </c>
      <c r="D630" s="31">
        <v>14</v>
      </c>
      <c r="E630" s="58">
        <v>824735</v>
      </c>
      <c r="F630" s="249">
        <f t="shared" si="32"/>
        <v>11546290</v>
      </c>
    </row>
    <row r="631" spans="1:6" x14ac:dyDescent="0.25">
      <c r="A631" s="218">
        <f t="shared" si="31"/>
        <v>24</v>
      </c>
      <c r="B631" s="18" t="s">
        <v>51</v>
      </c>
      <c r="C631" s="20"/>
      <c r="D631" s="20"/>
      <c r="E631" s="58">
        <v>0</v>
      </c>
      <c r="F631" s="249">
        <f t="shared" si="32"/>
        <v>0</v>
      </c>
    </row>
    <row r="632" spans="1:6" ht="29.25" x14ac:dyDescent="0.25">
      <c r="A632" s="218">
        <f t="shared" si="31"/>
        <v>25</v>
      </c>
      <c r="B632" s="17" t="s">
        <v>88</v>
      </c>
      <c r="C632" s="218" t="s">
        <v>53</v>
      </c>
      <c r="D632" s="31">
        <v>36</v>
      </c>
      <c r="E632" s="58">
        <v>5922</v>
      </c>
      <c r="F632" s="249">
        <f t="shared" si="32"/>
        <v>213192</v>
      </c>
    </row>
    <row r="633" spans="1:6" x14ac:dyDescent="0.25">
      <c r="A633" s="216"/>
      <c r="B633" s="18" t="s">
        <v>56</v>
      </c>
      <c r="C633" s="54"/>
      <c r="D633" s="130"/>
      <c r="E633" s="28"/>
      <c r="F633" s="28">
        <f>ROUND((F632+F631+F630+F629+F628+F627+F626+F625+F624+F623+F622+F621+F620+F619+F618+F617+F616+F615+F614+F613+F612+F611+F610+F609),0)</f>
        <v>28868030</v>
      </c>
    </row>
    <row r="634" spans="1:6" x14ac:dyDescent="0.25">
      <c r="A634" s="19"/>
      <c r="B634" s="19" t="s">
        <v>60</v>
      </c>
      <c r="C634" s="19"/>
      <c r="D634" s="19"/>
      <c r="E634" s="19"/>
      <c r="F634" s="29">
        <f>ROUND(F633/1.3495,0)</f>
        <v>21391649</v>
      </c>
    </row>
    <row r="635" spans="1:6" x14ac:dyDescent="0.25">
      <c r="A635" s="19"/>
      <c r="B635" s="19" t="s">
        <v>61</v>
      </c>
      <c r="C635" s="131">
        <v>0.24</v>
      </c>
      <c r="D635" s="19"/>
      <c r="E635" s="19"/>
      <c r="F635" s="29">
        <f>ROUND(F634*C635,0)</f>
        <v>5133996</v>
      </c>
    </row>
    <row r="636" spans="1:6" x14ac:dyDescent="0.25">
      <c r="A636" s="19"/>
      <c r="B636" s="19" t="s">
        <v>57</v>
      </c>
      <c r="C636" s="131">
        <v>0.05</v>
      </c>
      <c r="D636" s="19"/>
      <c r="E636" s="19"/>
      <c r="F636" s="29">
        <f>ROUND(F634*C636,0)</f>
        <v>1069582</v>
      </c>
    </row>
    <row r="637" spans="1:6" x14ac:dyDescent="0.25">
      <c r="A637" s="19"/>
      <c r="B637" s="19" t="s">
        <v>62</v>
      </c>
      <c r="C637" s="131">
        <v>0.05</v>
      </c>
      <c r="D637" s="19"/>
      <c r="E637" s="19"/>
      <c r="F637" s="29">
        <f>ROUND(F634*C637,0)</f>
        <v>1069582</v>
      </c>
    </row>
    <row r="638" spans="1:6" ht="29.25" x14ac:dyDescent="0.25">
      <c r="A638" s="19"/>
      <c r="B638" s="13" t="s">
        <v>63</v>
      </c>
      <c r="C638" s="133">
        <v>0.19</v>
      </c>
      <c r="D638" s="120"/>
      <c r="E638" s="120"/>
      <c r="F638" s="35">
        <f>ROUND(F637*19%,0)</f>
        <v>203221</v>
      </c>
    </row>
    <row r="639" spans="1:6" x14ac:dyDescent="0.25">
      <c r="A639" s="19"/>
      <c r="B639" s="18" t="s">
        <v>56</v>
      </c>
      <c r="C639" s="19"/>
      <c r="D639" s="19"/>
      <c r="E639" s="19"/>
      <c r="F639" s="30">
        <f>SUM(F634:F638)</f>
        <v>28868030</v>
      </c>
    </row>
    <row r="641" spans="1:6" x14ac:dyDescent="0.25">
      <c r="A641" s="422" t="s">
        <v>181</v>
      </c>
      <c r="B641" s="422"/>
      <c r="C641" s="422"/>
      <c r="D641" s="422"/>
      <c r="E641" s="422"/>
      <c r="F641" s="422"/>
    </row>
    <row r="642" spans="1:6" x14ac:dyDescent="0.25">
      <c r="A642" s="420" t="s">
        <v>10</v>
      </c>
      <c r="B642" s="420" t="s">
        <v>0</v>
      </c>
      <c r="C642" s="420" t="s">
        <v>11</v>
      </c>
      <c r="D642" s="420" t="s">
        <v>12</v>
      </c>
      <c r="E642" s="420"/>
      <c r="F642" s="420"/>
    </row>
    <row r="643" spans="1:6" x14ac:dyDescent="0.25">
      <c r="A643" s="420"/>
      <c r="B643" s="420"/>
      <c r="C643" s="420"/>
      <c r="D643" s="54" t="s">
        <v>13</v>
      </c>
      <c r="E643" s="54" t="s">
        <v>14</v>
      </c>
      <c r="F643" s="54" t="s">
        <v>15</v>
      </c>
    </row>
    <row r="644" spans="1:6" x14ac:dyDescent="0.25">
      <c r="A644" s="218">
        <f t="shared" ref="A644:A668" si="33">A643+1</f>
        <v>1</v>
      </c>
      <c r="B644" s="18" t="s">
        <v>16</v>
      </c>
      <c r="C644" s="420"/>
      <c r="D644" s="420"/>
      <c r="E644" s="420"/>
      <c r="F644" s="20"/>
    </row>
    <row r="645" spans="1:6" ht="29.25" x14ac:dyDescent="0.25">
      <c r="A645" s="218">
        <f t="shared" si="33"/>
        <v>2</v>
      </c>
      <c r="B645" s="17" t="s">
        <v>174</v>
      </c>
      <c r="C645" s="218" t="s">
        <v>18</v>
      </c>
      <c r="D645" s="31">
        <v>54</v>
      </c>
      <c r="E645" s="58">
        <v>5230</v>
      </c>
      <c r="F645" s="249">
        <f t="shared" ref="F645:F668" si="34">ROUND(D645*E645,0)</f>
        <v>282420</v>
      </c>
    </row>
    <row r="646" spans="1:6" ht="42.75" x14ac:dyDescent="0.25">
      <c r="A646" s="218">
        <f t="shared" si="33"/>
        <v>3</v>
      </c>
      <c r="B646" s="9" t="s">
        <v>21</v>
      </c>
      <c r="C646" s="218" t="s">
        <v>18</v>
      </c>
      <c r="D646" s="31">
        <v>120</v>
      </c>
      <c r="E646" s="59">
        <v>13608</v>
      </c>
      <c r="F646" s="249">
        <f t="shared" si="34"/>
        <v>1632960</v>
      </c>
    </row>
    <row r="647" spans="1:6" ht="29.25" x14ac:dyDescent="0.25">
      <c r="A647" s="218">
        <f t="shared" si="33"/>
        <v>4</v>
      </c>
      <c r="B647" s="17" t="s">
        <v>22</v>
      </c>
      <c r="C647" s="218" t="s">
        <v>23</v>
      </c>
      <c r="D647" s="31">
        <v>2</v>
      </c>
      <c r="E647" s="58">
        <v>155814</v>
      </c>
      <c r="F647" s="249">
        <f t="shared" si="34"/>
        <v>311628</v>
      </c>
    </row>
    <row r="648" spans="1:6" x14ac:dyDescent="0.25">
      <c r="A648" s="218">
        <f t="shared" si="33"/>
        <v>5</v>
      </c>
      <c r="B648" s="18" t="s">
        <v>25</v>
      </c>
      <c r="C648" s="20"/>
      <c r="D648" s="20"/>
      <c r="E648" s="58">
        <v>0</v>
      </c>
      <c r="F648" s="249">
        <f t="shared" si="34"/>
        <v>0</v>
      </c>
    </row>
    <row r="649" spans="1:6" ht="29.25" x14ac:dyDescent="0.25">
      <c r="A649" s="218">
        <f t="shared" si="33"/>
        <v>6</v>
      </c>
      <c r="B649" s="56" t="s">
        <v>26</v>
      </c>
      <c r="C649" s="218" t="s">
        <v>18</v>
      </c>
      <c r="D649" s="31">
        <v>228</v>
      </c>
      <c r="E649" s="58">
        <v>7652</v>
      </c>
      <c r="F649" s="249">
        <f t="shared" si="34"/>
        <v>1744656</v>
      </c>
    </row>
    <row r="650" spans="1:6" ht="72" x14ac:dyDescent="0.25">
      <c r="A650" s="218">
        <f t="shared" si="33"/>
        <v>7</v>
      </c>
      <c r="B650" s="17" t="s">
        <v>78</v>
      </c>
      <c r="C650" s="218" t="s">
        <v>64</v>
      </c>
      <c r="D650" s="31">
        <v>8</v>
      </c>
      <c r="E650" s="58">
        <v>83560</v>
      </c>
      <c r="F650" s="249">
        <f t="shared" si="34"/>
        <v>668480</v>
      </c>
    </row>
    <row r="651" spans="1:6" x14ac:dyDescent="0.25">
      <c r="A651" s="218">
        <f t="shared" si="33"/>
        <v>8</v>
      </c>
      <c r="B651" s="18" t="s">
        <v>28</v>
      </c>
      <c r="C651" s="20"/>
      <c r="D651" s="20"/>
      <c r="E651" s="58">
        <v>0</v>
      </c>
      <c r="F651" s="249">
        <f t="shared" si="34"/>
        <v>0</v>
      </c>
    </row>
    <row r="652" spans="1:6" ht="29.25" x14ac:dyDescent="0.25">
      <c r="A652" s="218">
        <f t="shared" si="33"/>
        <v>9</v>
      </c>
      <c r="B652" s="17" t="s">
        <v>79</v>
      </c>
      <c r="C652" s="218" t="s">
        <v>64</v>
      </c>
      <c r="D652" s="31">
        <v>36</v>
      </c>
      <c r="E652" s="58">
        <v>26395</v>
      </c>
      <c r="F652" s="249">
        <f t="shared" si="34"/>
        <v>950220</v>
      </c>
    </row>
    <row r="653" spans="1:6" ht="43.5" x14ac:dyDescent="0.25">
      <c r="A653" s="218">
        <f t="shared" si="33"/>
        <v>10</v>
      </c>
      <c r="B653" s="17" t="s">
        <v>32</v>
      </c>
      <c r="C653" s="218" t="s">
        <v>64</v>
      </c>
      <c r="D653" s="31">
        <v>25</v>
      </c>
      <c r="E653" s="58">
        <v>32848</v>
      </c>
      <c r="F653" s="249">
        <f t="shared" si="34"/>
        <v>821200</v>
      </c>
    </row>
    <row r="654" spans="1:6" ht="30" x14ac:dyDescent="0.25">
      <c r="A654" s="218">
        <f t="shared" si="33"/>
        <v>11</v>
      </c>
      <c r="B654" s="188" t="s">
        <v>80</v>
      </c>
      <c r="C654" s="20"/>
      <c r="D654" s="20"/>
      <c r="E654" s="243">
        <v>0</v>
      </c>
      <c r="F654" s="249">
        <f t="shared" si="34"/>
        <v>0</v>
      </c>
    </row>
    <row r="655" spans="1:6" ht="29.25" x14ac:dyDescent="0.25">
      <c r="A655" s="218">
        <f t="shared" si="33"/>
        <v>12</v>
      </c>
      <c r="B655" s="17" t="s">
        <v>163</v>
      </c>
      <c r="C655" s="218" t="s">
        <v>18</v>
      </c>
      <c r="D655" s="31">
        <v>54</v>
      </c>
      <c r="E655" s="58">
        <v>5945</v>
      </c>
      <c r="F655" s="249">
        <f t="shared" si="34"/>
        <v>321030</v>
      </c>
    </row>
    <row r="656" spans="1:6" ht="57.75" x14ac:dyDescent="0.25">
      <c r="A656" s="218">
        <f t="shared" si="33"/>
        <v>13</v>
      </c>
      <c r="B656" s="17" t="s">
        <v>82</v>
      </c>
      <c r="C656" s="218" t="s">
        <v>37</v>
      </c>
      <c r="D656" s="31">
        <v>10</v>
      </c>
      <c r="E656" s="58">
        <v>42039</v>
      </c>
      <c r="F656" s="249">
        <f t="shared" si="34"/>
        <v>420390</v>
      </c>
    </row>
    <row r="657" spans="1:6" x14ac:dyDescent="0.25">
      <c r="A657" s="218">
        <f t="shared" si="33"/>
        <v>14</v>
      </c>
      <c r="B657" s="57" t="s">
        <v>292</v>
      </c>
      <c r="C657" s="218" t="s">
        <v>37</v>
      </c>
      <c r="D657" s="31">
        <v>1</v>
      </c>
      <c r="E657" s="58">
        <v>210191</v>
      </c>
      <c r="F657" s="249">
        <f t="shared" si="34"/>
        <v>210191</v>
      </c>
    </row>
    <row r="658" spans="1:6" ht="85.5" x14ac:dyDescent="0.25">
      <c r="A658" s="218">
        <f t="shared" si="33"/>
        <v>15</v>
      </c>
      <c r="B658" s="9" t="s">
        <v>84</v>
      </c>
      <c r="C658" s="218" t="s">
        <v>37</v>
      </c>
      <c r="D658" s="31">
        <v>1</v>
      </c>
      <c r="E658" s="58">
        <v>345600</v>
      </c>
      <c r="F658" s="249">
        <f t="shared" si="34"/>
        <v>345600</v>
      </c>
    </row>
    <row r="659" spans="1:6" ht="29.25" x14ac:dyDescent="0.25">
      <c r="A659" s="218">
        <f t="shared" si="33"/>
        <v>16</v>
      </c>
      <c r="B659" s="17" t="s">
        <v>85</v>
      </c>
      <c r="C659" s="218" t="s">
        <v>23</v>
      </c>
      <c r="D659" s="31">
        <v>2</v>
      </c>
      <c r="E659" s="58">
        <v>90583</v>
      </c>
      <c r="F659" s="249">
        <f t="shared" si="34"/>
        <v>181166</v>
      </c>
    </row>
    <row r="660" spans="1:6" x14ac:dyDescent="0.25">
      <c r="A660" s="218">
        <f t="shared" si="33"/>
        <v>17</v>
      </c>
      <c r="B660" s="18" t="s">
        <v>43</v>
      </c>
      <c r="C660" s="20"/>
      <c r="D660" s="20"/>
      <c r="E660" s="58">
        <v>0</v>
      </c>
      <c r="F660" s="249">
        <f t="shared" si="34"/>
        <v>0</v>
      </c>
    </row>
    <row r="661" spans="1:6" ht="29.25" x14ac:dyDescent="0.25">
      <c r="A661" s="218">
        <f t="shared" si="33"/>
        <v>18</v>
      </c>
      <c r="B661" s="17" t="s">
        <v>44</v>
      </c>
      <c r="C661" s="218" t="s">
        <v>64</v>
      </c>
      <c r="D661" s="31">
        <v>5</v>
      </c>
      <c r="E661" s="58">
        <v>121019</v>
      </c>
      <c r="F661" s="249">
        <f t="shared" si="34"/>
        <v>605095</v>
      </c>
    </row>
    <row r="662" spans="1:6" ht="29.25" x14ac:dyDescent="0.25">
      <c r="A662" s="218">
        <f t="shared" si="33"/>
        <v>19</v>
      </c>
      <c r="B662" s="17" t="s">
        <v>45</v>
      </c>
      <c r="C662" s="218" t="s">
        <v>64</v>
      </c>
      <c r="D662" s="31">
        <v>19</v>
      </c>
      <c r="E662" s="58">
        <v>22197</v>
      </c>
      <c r="F662" s="249">
        <f t="shared" si="34"/>
        <v>421743</v>
      </c>
    </row>
    <row r="663" spans="1:6" ht="29.25" x14ac:dyDescent="0.25">
      <c r="A663" s="218">
        <f t="shared" si="33"/>
        <v>20</v>
      </c>
      <c r="B663" s="17" t="s">
        <v>164</v>
      </c>
      <c r="C663" s="218" t="s">
        <v>64</v>
      </c>
      <c r="D663" s="31">
        <v>11</v>
      </c>
      <c r="E663" s="58">
        <v>145281</v>
      </c>
      <c r="F663" s="249">
        <f t="shared" si="34"/>
        <v>1598091</v>
      </c>
    </row>
    <row r="664" spans="1:6" x14ac:dyDescent="0.25">
      <c r="A664" s="218">
        <f t="shared" si="33"/>
        <v>21</v>
      </c>
      <c r="B664" s="18" t="s">
        <v>48</v>
      </c>
      <c r="C664" s="20"/>
      <c r="D664" s="20"/>
      <c r="E664" s="58">
        <v>0</v>
      </c>
      <c r="F664" s="249">
        <f t="shared" si="34"/>
        <v>0</v>
      </c>
    </row>
    <row r="665" spans="1:6" ht="43.5" x14ac:dyDescent="0.25">
      <c r="A665" s="218">
        <f t="shared" si="33"/>
        <v>22</v>
      </c>
      <c r="B665" s="17" t="s">
        <v>86</v>
      </c>
      <c r="C665" s="218" t="s">
        <v>64</v>
      </c>
      <c r="D665" s="31">
        <v>0.5</v>
      </c>
      <c r="E665" s="58">
        <v>607296</v>
      </c>
      <c r="F665" s="249">
        <f t="shared" si="34"/>
        <v>303648</v>
      </c>
    </row>
    <row r="666" spans="1:6" ht="43.5" x14ac:dyDescent="0.25">
      <c r="A666" s="218">
        <f t="shared" si="33"/>
        <v>23</v>
      </c>
      <c r="B666" s="17" t="s">
        <v>50</v>
      </c>
      <c r="C666" s="218" t="s">
        <v>64</v>
      </c>
      <c r="D666" s="31">
        <v>8</v>
      </c>
      <c r="E666" s="58">
        <v>824735</v>
      </c>
      <c r="F666" s="249">
        <f t="shared" si="34"/>
        <v>6597880</v>
      </c>
    </row>
    <row r="667" spans="1:6" x14ac:dyDescent="0.25">
      <c r="A667" s="218">
        <f t="shared" si="33"/>
        <v>24</v>
      </c>
      <c r="B667" s="18" t="s">
        <v>51</v>
      </c>
      <c r="C667" s="20"/>
      <c r="D667" s="20"/>
      <c r="E667" s="243">
        <v>0</v>
      </c>
      <c r="F667" s="249">
        <f t="shared" si="34"/>
        <v>0</v>
      </c>
    </row>
    <row r="668" spans="1:6" ht="29.25" x14ac:dyDescent="0.25">
      <c r="A668" s="218">
        <f t="shared" si="33"/>
        <v>25</v>
      </c>
      <c r="B668" s="17" t="s">
        <v>88</v>
      </c>
      <c r="C668" s="218" t="s">
        <v>53</v>
      </c>
      <c r="D668" s="31">
        <v>36</v>
      </c>
      <c r="E668" s="58">
        <v>5922</v>
      </c>
      <c r="F668" s="249">
        <f t="shared" si="34"/>
        <v>213192</v>
      </c>
    </row>
    <row r="669" spans="1:6" x14ac:dyDescent="0.25">
      <c r="A669" s="216"/>
      <c r="B669" s="18" t="s">
        <v>56</v>
      </c>
      <c r="C669" s="54"/>
      <c r="D669" s="130"/>
      <c r="E669" s="28"/>
      <c r="F669" s="274">
        <f>ROUND((F668+F667+F666+F665+F664+F663+F662+F661+F660+F659+F658+F657+F656+F655+F654+F653+F652+F651+F650+F649+F648+F647+F646+F645),0)</f>
        <v>17629590</v>
      </c>
    </row>
    <row r="670" spans="1:6" x14ac:dyDescent="0.25">
      <c r="A670" s="19"/>
      <c r="B670" s="19" t="s">
        <v>60</v>
      </c>
      <c r="C670" s="19"/>
      <c r="D670" s="19"/>
      <c r="E670" s="19"/>
      <c r="F670" s="29">
        <f>ROUND(F669/1.3495,0)</f>
        <v>13063794</v>
      </c>
    </row>
    <row r="671" spans="1:6" x14ac:dyDescent="0.25">
      <c r="A671" s="19"/>
      <c r="B671" s="19" t="s">
        <v>61</v>
      </c>
      <c r="C671" s="131">
        <v>0.24</v>
      </c>
      <c r="D671" s="19"/>
      <c r="E671" s="19"/>
      <c r="F671" s="29">
        <f>ROUND(F670*C671,0)</f>
        <v>3135311</v>
      </c>
    </row>
    <row r="672" spans="1:6" x14ac:dyDescent="0.25">
      <c r="A672" s="19"/>
      <c r="B672" s="19" t="s">
        <v>57</v>
      </c>
      <c r="C672" s="131">
        <v>0.05</v>
      </c>
      <c r="D672" s="19"/>
      <c r="E672" s="19"/>
      <c r="F672" s="29">
        <f>ROUND(F670*C672,0)</f>
        <v>653190</v>
      </c>
    </row>
    <row r="673" spans="1:6" x14ac:dyDescent="0.25">
      <c r="A673" s="19"/>
      <c r="B673" s="19" t="s">
        <v>62</v>
      </c>
      <c r="C673" s="131">
        <v>0.05</v>
      </c>
      <c r="D673" s="19"/>
      <c r="E673" s="19"/>
      <c r="F673" s="29">
        <f>ROUND(F670*C673,0)</f>
        <v>653190</v>
      </c>
    </row>
    <row r="674" spans="1:6" ht="29.25" x14ac:dyDescent="0.25">
      <c r="A674" s="19"/>
      <c r="B674" s="13" t="s">
        <v>63</v>
      </c>
      <c r="C674" s="133">
        <v>0.19</v>
      </c>
      <c r="D674" s="120"/>
      <c r="E674" s="120"/>
      <c r="F674" s="35">
        <f>ROUND(F673*19%,0)</f>
        <v>124106</v>
      </c>
    </row>
    <row r="675" spans="1:6" x14ac:dyDescent="0.25">
      <c r="A675" s="19"/>
      <c r="B675" s="18" t="s">
        <v>56</v>
      </c>
      <c r="C675" s="19"/>
      <c r="D675" s="19"/>
      <c r="E675" s="19"/>
      <c r="F675" s="275">
        <f>SUM(F670:F674)</f>
        <v>17629591</v>
      </c>
    </row>
    <row r="677" spans="1:6" x14ac:dyDescent="0.25">
      <c r="A677" s="422" t="s">
        <v>182</v>
      </c>
      <c r="B677" s="422"/>
      <c r="C677" s="422"/>
      <c r="D677" s="422"/>
      <c r="E677" s="422"/>
      <c r="F677" s="422"/>
    </row>
    <row r="678" spans="1:6" x14ac:dyDescent="0.25">
      <c r="A678" s="420" t="s">
        <v>10</v>
      </c>
      <c r="B678" s="420" t="s">
        <v>0</v>
      </c>
      <c r="C678" s="420" t="s">
        <v>11</v>
      </c>
      <c r="D678" s="420" t="s">
        <v>12</v>
      </c>
      <c r="E678" s="420"/>
      <c r="F678" s="420"/>
    </row>
    <row r="679" spans="1:6" x14ac:dyDescent="0.25">
      <c r="A679" s="420"/>
      <c r="B679" s="420"/>
      <c r="C679" s="420"/>
      <c r="D679" s="54" t="s">
        <v>13</v>
      </c>
      <c r="E679" s="54" t="s">
        <v>14</v>
      </c>
      <c r="F679" s="54" t="s">
        <v>15</v>
      </c>
    </row>
    <row r="680" spans="1:6" x14ac:dyDescent="0.25">
      <c r="A680" s="218">
        <f t="shared" ref="A680:A702" si="35">A679+1</f>
        <v>1</v>
      </c>
      <c r="B680" s="18" t="s">
        <v>16</v>
      </c>
      <c r="C680" s="420"/>
      <c r="D680" s="420"/>
      <c r="E680" s="420"/>
      <c r="F680" s="20"/>
    </row>
    <row r="681" spans="1:6" ht="43.5" x14ac:dyDescent="0.25">
      <c r="A681" s="218">
        <f t="shared" si="35"/>
        <v>2</v>
      </c>
      <c r="B681" s="17" t="s">
        <v>77</v>
      </c>
      <c r="C681" s="218" t="s">
        <v>18</v>
      </c>
      <c r="D681" s="31">
        <v>30</v>
      </c>
      <c r="E681" s="58">
        <v>5230</v>
      </c>
      <c r="F681" s="249">
        <f t="shared" ref="F681:F702" si="36">ROUND(D681*E681,0)</f>
        <v>156900</v>
      </c>
    </row>
    <row r="682" spans="1:6" ht="42.75" x14ac:dyDescent="0.25">
      <c r="A682" s="218">
        <f t="shared" si="35"/>
        <v>3</v>
      </c>
      <c r="B682" s="9" t="s">
        <v>21</v>
      </c>
      <c r="C682" s="218" t="s">
        <v>18</v>
      </c>
      <c r="D682" s="31">
        <v>72</v>
      </c>
      <c r="E682" s="59">
        <v>13608</v>
      </c>
      <c r="F682" s="249">
        <f t="shared" si="36"/>
        <v>979776</v>
      </c>
    </row>
    <row r="683" spans="1:6" ht="29.25" x14ac:dyDescent="0.25">
      <c r="A683" s="218">
        <f t="shared" si="35"/>
        <v>4</v>
      </c>
      <c r="B683" s="17" t="s">
        <v>22</v>
      </c>
      <c r="C683" s="218" t="s">
        <v>23</v>
      </c>
      <c r="D683" s="31">
        <v>2</v>
      </c>
      <c r="E683" s="58">
        <v>155814</v>
      </c>
      <c r="F683" s="249">
        <f t="shared" si="36"/>
        <v>311628</v>
      </c>
    </row>
    <row r="684" spans="1:6" x14ac:dyDescent="0.25">
      <c r="A684" s="218">
        <f t="shared" si="35"/>
        <v>5</v>
      </c>
      <c r="B684" s="18" t="s">
        <v>25</v>
      </c>
      <c r="C684" s="20"/>
      <c r="D684" s="20"/>
      <c r="E684" s="58">
        <v>0</v>
      </c>
      <c r="F684" s="249">
        <f t="shared" si="36"/>
        <v>0</v>
      </c>
    </row>
    <row r="685" spans="1:6" ht="29.25" x14ac:dyDescent="0.25">
      <c r="A685" s="218">
        <f t="shared" si="35"/>
        <v>6</v>
      </c>
      <c r="B685" s="56" t="s">
        <v>26</v>
      </c>
      <c r="C685" s="218" t="s">
        <v>18</v>
      </c>
      <c r="D685" s="31">
        <v>220</v>
      </c>
      <c r="E685" s="58">
        <v>7652</v>
      </c>
      <c r="F685" s="249">
        <f t="shared" si="36"/>
        <v>1683440</v>
      </c>
    </row>
    <row r="686" spans="1:6" ht="72" x14ac:dyDescent="0.25">
      <c r="A686" s="218">
        <f t="shared" si="35"/>
        <v>7</v>
      </c>
      <c r="B686" s="17" t="s">
        <v>78</v>
      </c>
      <c r="C686" s="218" t="s">
        <v>64</v>
      </c>
      <c r="D686" s="31">
        <v>7</v>
      </c>
      <c r="E686" s="58">
        <v>83560</v>
      </c>
      <c r="F686" s="249">
        <f t="shared" si="36"/>
        <v>584920</v>
      </c>
    </row>
    <row r="687" spans="1:6" x14ac:dyDescent="0.25">
      <c r="A687" s="218">
        <f t="shared" si="35"/>
        <v>8</v>
      </c>
      <c r="B687" s="18" t="s">
        <v>28</v>
      </c>
      <c r="C687" s="20"/>
      <c r="D687" s="20"/>
      <c r="E687" s="58">
        <v>0</v>
      </c>
      <c r="F687" s="249">
        <f t="shared" si="36"/>
        <v>0</v>
      </c>
    </row>
    <row r="688" spans="1:6" ht="29.25" x14ac:dyDescent="0.25">
      <c r="A688" s="218">
        <f t="shared" si="35"/>
        <v>9</v>
      </c>
      <c r="B688" s="17" t="s">
        <v>79</v>
      </c>
      <c r="C688" s="218" t="s">
        <v>64</v>
      </c>
      <c r="D688" s="31">
        <v>27</v>
      </c>
      <c r="E688" s="58">
        <v>26395</v>
      </c>
      <c r="F688" s="249">
        <f t="shared" si="36"/>
        <v>712665</v>
      </c>
    </row>
    <row r="689" spans="1:6" ht="43.5" x14ac:dyDescent="0.25">
      <c r="A689" s="218">
        <f t="shared" si="35"/>
        <v>10</v>
      </c>
      <c r="B689" s="17" t="s">
        <v>32</v>
      </c>
      <c r="C689" s="218" t="s">
        <v>64</v>
      </c>
      <c r="D689" s="31">
        <v>20</v>
      </c>
      <c r="E689" s="58">
        <v>32848</v>
      </c>
      <c r="F689" s="249">
        <f t="shared" si="36"/>
        <v>656960</v>
      </c>
    </row>
    <row r="690" spans="1:6" ht="30" x14ac:dyDescent="0.25">
      <c r="A690" s="218">
        <f t="shared" si="35"/>
        <v>11</v>
      </c>
      <c r="B690" s="188" t="s">
        <v>80</v>
      </c>
      <c r="C690" s="20"/>
      <c r="D690" s="20"/>
      <c r="E690" s="243">
        <v>0</v>
      </c>
      <c r="F690" s="249">
        <f t="shared" si="36"/>
        <v>0</v>
      </c>
    </row>
    <row r="691" spans="1:6" ht="29.25" x14ac:dyDescent="0.25">
      <c r="A691" s="218">
        <f t="shared" si="35"/>
        <v>12</v>
      </c>
      <c r="B691" s="17" t="s">
        <v>163</v>
      </c>
      <c r="C691" s="217" t="s">
        <v>18</v>
      </c>
      <c r="D691" s="272">
        <v>30</v>
      </c>
      <c r="E691" s="273">
        <v>5945</v>
      </c>
      <c r="F691" s="249">
        <f t="shared" si="36"/>
        <v>178350</v>
      </c>
    </row>
    <row r="692" spans="1:6" ht="57.75" x14ac:dyDescent="0.25">
      <c r="A692" s="218">
        <f t="shared" si="35"/>
        <v>13</v>
      </c>
      <c r="B692" s="17" t="s">
        <v>82</v>
      </c>
      <c r="C692" s="217" t="s">
        <v>37</v>
      </c>
      <c r="D692" s="272">
        <v>8</v>
      </c>
      <c r="E692" s="273">
        <v>42039</v>
      </c>
      <c r="F692" s="249">
        <f t="shared" si="36"/>
        <v>336312</v>
      </c>
    </row>
    <row r="693" spans="1:6" ht="29.25" x14ac:dyDescent="0.25">
      <c r="A693" s="218">
        <f t="shared" si="35"/>
        <v>14</v>
      </c>
      <c r="B693" s="17" t="s">
        <v>85</v>
      </c>
      <c r="C693" s="217" t="s">
        <v>23</v>
      </c>
      <c r="D693" s="272">
        <v>2</v>
      </c>
      <c r="E693" s="273">
        <v>90583</v>
      </c>
      <c r="F693" s="249">
        <f t="shared" si="36"/>
        <v>181166</v>
      </c>
    </row>
    <row r="694" spans="1:6" x14ac:dyDescent="0.25">
      <c r="A694" s="218">
        <f t="shared" si="35"/>
        <v>15</v>
      </c>
      <c r="B694" s="18" t="s">
        <v>43</v>
      </c>
      <c r="C694" s="195"/>
      <c r="D694" s="195"/>
      <c r="E694" s="273">
        <v>0</v>
      </c>
      <c r="F694" s="249">
        <f t="shared" si="36"/>
        <v>0</v>
      </c>
    </row>
    <row r="695" spans="1:6" ht="29.25" x14ac:dyDescent="0.25">
      <c r="A695" s="218">
        <f t="shared" si="35"/>
        <v>16</v>
      </c>
      <c r="B695" s="17" t="s">
        <v>44</v>
      </c>
      <c r="C695" s="217" t="s">
        <v>64</v>
      </c>
      <c r="D695" s="272">
        <v>2</v>
      </c>
      <c r="E695" s="273">
        <v>121019</v>
      </c>
      <c r="F695" s="249">
        <f t="shared" si="36"/>
        <v>242038</v>
      </c>
    </row>
    <row r="696" spans="1:6" ht="29.25" x14ac:dyDescent="0.25">
      <c r="A696" s="218">
        <f t="shared" si="35"/>
        <v>17</v>
      </c>
      <c r="B696" s="17" t="s">
        <v>45</v>
      </c>
      <c r="C696" s="217" t="s">
        <v>64</v>
      </c>
      <c r="D696" s="272">
        <v>14</v>
      </c>
      <c r="E696" s="273">
        <v>22197</v>
      </c>
      <c r="F696" s="249">
        <f t="shared" si="36"/>
        <v>310758</v>
      </c>
    </row>
    <row r="697" spans="1:6" ht="29.25" x14ac:dyDescent="0.25">
      <c r="A697" s="218">
        <f t="shared" si="35"/>
        <v>18</v>
      </c>
      <c r="B697" s="17" t="s">
        <v>164</v>
      </c>
      <c r="C697" s="218" t="s">
        <v>64</v>
      </c>
      <c r="D697" s="31">
        <v>10</v>
      </c>
      <c r="E697" s="58">
        <v>145281</v>
      </c>
      <c r="F697" s="249">
        <f t="shared" si="36"/>
        <v>1452810</v>
      </c>
    </row>
    <row r="698" spans="1:6" x14ac:dyDescent="0.25">
      <c r="A698" s="218">
        <f t="shared" si="35"/>
        <v>19</v>
      </c>
      <c r="B698" s="18" t="s">
        <v>48</v>
      </c>
      <c r="C698" s="20"/>
      <c r="D698" s="20"/>
      <c r="E698" s="58">
        <v>0</v>
      </c>
      <c r="F698" s="249">
        <f t="shared" si="36"/>
        <v>0</v>
      </c>
    </row>
    <row r="699" spans="1:6" ht="43.5" x14ac:dyDescent="0.25">
      <c r="A699" s="218">
        <f t="shared" si="35"/>
        <v>20</v>
      </c>
      <c r="B699" s="17" t="s">
        <v>86</v>
      </c>
      <c r="C699" s="218" t="s">
        <v>64</v>
      </c>
      <c r="D699" s="31">
        <v>0.5</v>
      </c>
      <c r="E699" s="58">
        <v>607296</v>
      </c>
      <c r="F699" s="249">
        <f t="shared" si="36"/>
        <v>303648</v>
      </c>
    </row>
    <row r="700" spans="1:6" ht="43.5" x14ac:dyDescent="0.25">
      <c r="A700" s="218">
        <f t="shared" si="35"/>
        <v>21</v>
      </c>
      <c r="B700" s="17" t="s">
        <v>50</v>
      </c>
      <c r="C700" s="218" t="s">
        <v>64</v>
      </c>
      <c r="D700" s="31">
        <v>7</v>
      </c>
      <c r="E700" s="58">
        <v>824735</v>
      </c>
      <c r="F700" s="249">
        <f t="shared" si="36"/>
        <v>5773145</v>
      </c>
    </row>
    <row r="701" spans="1:6" x14ac:dyDescent="0.25">
      <c r="A701" s="218">
        <f t="shared" si="35"/>
        <v>22</v>
      </c>
      <c r="B701" s="188" t="s">
        <v>51</v>
      </c>
      <c r="C701" s="20"/>
      <c r="D701" s="20"/>
      <c r="E701" s="58">
        <v>0</v>
      </c>
      <c r="F701" s="249">
        <f t="shared" si="36"/>
        <v>0</v>
      </c>
    </row>
    <row r="702" spans="1:6" ht="29.25" x14ac:dyDescent="0.25">
      <c r="A702" s="218">
        <f t="shared" si="35"/>
        <v>23</v>
      </c>
      <c r="B702" s="17" t="s">
        <v>88</v>
      </c>
      <c r="C702" s="218" t="s">
        <v>53</v>
      </c>
      <c r="D702" s="31">
        <v>12</v>
      </c>
      <c r="E702" s="58">
        <v>5922</v>
      </c>
      <c r="F702" s="249">
        <f t="shared" si="36"/>
        <v>71064</v>
      </c>
    </row>
    <row r="703" spans="1:6" x14ac:dyDescent="0.25">
      <c r="A703" s="216"/>
      <c r="B703" s="18" t="s">
        <v>56</v>
      </c>
      <c r="C703" s="54"/>
      <c r="D703" s="130"/>
      <c r="E703" s="28"/>
      <c r="F703" s="28">
        <f>ROUND((F702+F701+F700+F699+F698+F697+F696+F695+F694+F693+F692+F691+F690+F689+F688+F687+F686+F685+F684+F683+F682+F681),0)</f>
        <v>13935580</v>
      </c>
    </row>
    <row r="704" spans="1:6" x14ac:dyDescent="0.25">
      <c r="A704" s="19"/>
      <c r="B704" s="19" t="s">
        <v>60</v>
      </c>
      <c r="C704" s="19"/>
      <c r="D704" s="19"/>
      <c r="E704" s="19"/>
      <c r="F704" s="29">
        <f>ROUND(F703/1.3495,0)</f>
        <v>10326476</v>
      </c>
    </row>
    <row r="705" spans="1:6" x14ac:dyDescent="0.25">
      <c r="A705" s="19"/>
      <c r="B705" s="19" t="s">
        <v>61</v>
      </c>
      <c r="C705" s="131">
        <v>0.24</v>
      </c>
      <c r="D705" s="19"/>
      <c r="E705" s="19"/>
      <c r="F705" s="29">
        <f>ROUND(F704*C705,0)</f>
        <v>2478354</v>
      </c>
    </row>
    <row r="706" spans="1:6" x14ac:dyDescent="0.25">
      <c r="A706" s="19"/>
      <c r="B706" s="19" t="s">
        <v>57</v>
      </c>
      <c r="C706" s="131">
        <v>0.05</v>
      </c>
      <c r="D706" s="19"/>
      <c r="E706" s="19"/>
      <c r="F706" s="29">
        <f>ROUND(F704*C706,0)</f>
        <v>516324</v>
      </c>
    </row>
    <row r="707" spans="1:6" x14ac:dyDescent="0.25">
      <c r="A707" s="19"/>
      <c r="B707" s="19" t="s">
        <v>62</v>
      </c>
      <c r="C707" s="131">
        <v>0.05</v>
      </c>
      <c r="D707" s="19"/>
      <c r="E707" s="19"/>
      <c r="F707" s="29">
        <f>ROUND(F704*C707,0)</f>
        <v>516324</v>
      </c>
    </row>
    <row r="708" spans="1:6" ht="29.25" x14ac:dyDescent="0.25">
      <c r="A708" s="19"/>
      <c r="B708" s="13" t="s">
        <v>63</v>
      </c>
      <c r="C708" s="133">
        <v>0.19</v>
      </c>
      <c r="D708" s="120"/>
      <c r="E708" s="120"/>
      <c r="F708" s="35">
        <f>ROUND(F707*19%,0)</f>
        <v>98102</v>
      </c>
    </row>
    <row r="709" spans="1:6" x14ac:dyDescent="0.25">
      <c r="A709" s="19"/>
      <c r="B709" s="18" t="s">
        <v>56</v>
      </c>
      <c r="C709" s="19"/>
      <c r="D709" s="19"/>
      <c r="E709" s="19"/>
      <c r="F709" s="30">
        <f>SUM(F704:F708)</f>
        <v>13935580</v>
      </c>
    </row>
    <row r="711" spans="1:6" x14ac:dyDescent="0.25">
      <c r="A711" s="422" t="s">
        <v>183</v>
      </c>
      <c r="B711" s="422"/>
      <c r="C711" s="422"/>
      <c r="D711" s="422"/>
      <c r="E711" s="422"/>
      <c r="F711" s="422"/>
    </row>
    <row r="712" spans="1:6" x14ac:dyDescent="0.25">
      <c r="A712" s="420" t="s">
        <v>10</v>
      </c>
      <c r="B712" s="420" t="s">
        <v>0</v>
      </c>
      <c r="C712" s="420" t="s">
        <v>11</v>
      </c>
      <c r="D712" s="420" t="s">
        <v>12</v>
      </c>
      <c r="E712" s="420"/>
      <c r="F712" s="420"/>
    </row>
    <row r="713" spans="1:6" x14ac:dyDescent="0.25">
      <c r="A713" s="420"/>
      <c r="B713" s="420"/>
      <c r="C713" s="420"/>
      <c r="D713" s="54" t="s">
        <v>13</v>
      </c>
      <c r="E713" s="54" t="s">
        <v>14</v>
      </c>
      <c r="F713" s="54" t="s">
        <v>15</v>
      </c>
    </row>
    <row r="714" spans="1:6" x14ac:dyDescent="0.25">
      <c r="A714" s="218">
        <f t="shared" ref="A714:A736" si="37">A713+1</f>
        <v>1</v>
      </c>
      <c r="B714" s="18" t="s">
        <v>16</v>
      </c>
      <c r="C714" s="420"/>
      <c r="D714" s="420"/>
      <c r="E714" s="420"/>
      <c r="F714" s="20"/>
    </row>
    <row r="715" spans="1:6" ht="29.25" x14ac:dyDescent="0.25">
      <c r="A715" s="218">
        <f t="shared" si="37"/>
        <v>2</v>
      </c>
      <c r="B715" s="17" t="s">
        <v>91</v>
      </c>
      <c r="C715" s="218" t="s">
        <v>18</v>
      </c>
      <c r="D715" s="31">
        <v>90</v>
      </c>
      <c r="E715" s="58">
        <v>5230</v>
      </c>
      <c r="F715" s="58">
        <f>D715*E715</f>
        <v>470700</v>
      </c>
    </row>
    <row r="716" spans="1:6" ht="42.75" x14ac:dyDescent="0.25">
      <c r="A716" s="218">
        <f t="shared" si="37"/>
        <v>3</v>
      </c>
      <c r="B716" s="9" t="s">
        <v>21</v>
      </c>
      <c r="C716" s="218" t="s">
        <v>18</v>
      </c>
      <c r="D716" s="31">
        <v>192</v>
      </c>
      <c r="E716" s="59">
        <v>13608</v>
      </c>
      <c r="F716" s="58">
        <f t="shared" ref="F716:F736" si="38">D716*E716</f>
        <v>2612736</v>
      </c>
    </row>
    <row r="717" spans="1:6" ht="29.25" x14ac:dyDescent="0.25">
      <c r="A717" s="218">
        <f t="shared" si="37"/>
        <v>4</v>
      </c>
      <c r="B717" s="17" t="s">
        <v>22</v>
      </c>
      <c r="C717" s="218" t="s">
        <v>23</v>
      </c>
      <c r="D717" s="31">
        <v>2</v>
      </c>
      <c r="E717" s="58">
        <v>155814</v>
      </c>
      <c r="F717" s="58">
        <f t="shared" si="38"/>
        <v>311628</v>
      </c>
    </row>
    <row r="718" spans="1:6" x14ac:dyDescent="0.25">
      <c r="A718" s="218">
        <f t="shared" si="37"/>
        <v>5</v>
      </c>
      <c r="B718" s="18" t="s">
        <v>25</v>
      </c>
      <c r="C718" s="20"/>
      <c r="D718" s="20"/>
      <c r="E718" s="58">
        <v>0</v>
      </c>
      <c r="F718" s="58">
        <f t="shared" si="38"/>
        <v>0</v>
      </c>
    </row>
    <row r="719" spans="1:6" ht="29.25" x14ac:dyDescent="0.25">
      <c r="A719" s="218">
        <f t="shared" si="37"/>
        <v>6</v>
      </c>
      <c r="B719" s="56" t="s">
        <v>26</v>
      </c>
      <c r="C719" s="218" t="s">
        <v>18</v>
      </c>
      <c r="D719" s="31">
        <v>420</v>
      </c>
      <c r="E719" s="58">
        <v>7652</v>
      </c>
      <c r="F719" s="58">
        <f t="shared" si="38"/>
        <v>3213840</v>
      </c>
    </row>
    <row r="720" spans="1:6" ht="72" x14ac:dyDescent="0.25">
      <c r="A720" s="218">
        <f t="shared" si="37"/>
        <v>7</v>
      </c>
      <c r="B720" s="17" t="s">
        <v>78</v>
      </c>
      <c r="C720" s="218" t="s">
        <v>64</v>
      </c>
      <c r="D720" s="31">
        <v>15</v>
      </c>
      <c r="E720" s="58">
        <v>83560</v>
      </c>
      <c r="F720" s="58">
        <f t="shared" si="38"/>
        <v>1253400</v>
      </c>
    </row>
    <row r="721" spans="1:6" x14ac:dyDescent="0.25">
      <c r="A721" s="218">
        <f t="shared" si="37"/>
        <v>8</v>
      </c>
      <c r="B721" s="18" t="s">
        <v>28</v>
      </c>
      <c r="C721" s="20"/>
      <c r="D721" s="20"/>
      <c r="E721" s="243">
        <v>0</v>
      </c>
      <c r="F721" s="243">
        <f t="shared" si="38"/>
        <v>0</v>
      </c>
    </row>
    <row r="722" spans="1:6" ht="29.25" x14ac:dyDescent="0.25">
      <c r="A722" s="218">
        <f t="shared" si="37"/>
        <v>9</v>
      </c>
      <c r="B722" s="17" t="s">
        <v>79</v>
      </c>
      <c r="C722" s="218" t="s">
        <v>64</v>
      </c>
      <c r="D722" s="31">
        <v>63</v>
      </c>
      <c r="E722" s="58">
        <v>26395</v>
      </c>
      <c r="F722" s="58">
        <f t="shared" si="38"/>
        <v>1662885</v>
      </c>
    </row>
    <row r="723" spans="1:6" ht="43.5" x14ac:dyDescent="0.25">
      <c r="A723" s="218">
        <f t="shared" si="37"/>
        <v>10</v>
      </c>
      <c r="B723" s="17" t="s">
        <v>32</v>
      </c>
      <c r="C723" s="218" t="s">
        <v>64</v>
      </c>
      <c r="D723" s="31">
        <v>44</v>
      </c>
      <c r="E723" s="58">
        <v>32848</v>
      </c>
      <c r="F723" s="58">
        <f t="shared" si="38"/>
        <v>1445312</v>
      </c>
    </row>
    <row r="724" spans="1:6" ht="30" x14ac:dyDescent="0.25">
      <c r="A724" s="218">
        <f t="shared" si="37"/>
        <v>11</v>
      </c>
      <c r="B724" s="188" t="s">
        <v>80</v>
      </c>
      <c r="C724" s="20"/>
      <c r="D724" s="20"/>
      <c r="E724" s="243">
        <v>0</v>
      </c>
      <c r="F724" s="243">
        <f t="shared" si="38"/>
        <v>0</v>
      </c>
    </row>
    <row r="725" spans="1:6" ht="29.25" x14ac:dyDescent="0.25">
      <c r="A725" s="218">
        <f t="shared" si="37"/>
        <v>12</v>
      </c>
      <c r="B725" s="17" t="s">
        <v>163</v>
      </c>
      <c r="C725" s="218" t="s">
        <v>18</v>
      </c>
      <c r="D725" s="31">
        <v>90</v>
      </c>
      <c r="E725" s="58">
        <v>5945</v>
      </c>
      <c r="F725" s="58">
        <f t="shared" si="38"/>
        <v>535050</v>
      </c>
    </row>
    <row r="726" spans="1:6" ht="57.75" x14ac:dyDescent="0.25">
      <c r="A726" s="218">
        <f t="shared" si="37"/>
        <v>13</v>
      </c>
      <c r="B726" s="17" t="s">
        <v>82</v>
      </c>
      <c r="C726" s="218" t="s">
        <v>37</v>
      </c>
      <c r="D726" s="31">
        <v>20</v>
      </c>
      <c r="E726" s="58">
        <v>42039</v>
      </c>
      <c r="F726" s="58">
        <f t="shared" si="38"/>
        <v>840780</v>
      </c>
    </row>
    <row r="727" spans="1:6" ht="29.25" x14ac:dyDescent="0.25">
      <c r="A727" s="218">
        <f t="shared" si="37"/>
        <v>14</v>
      </c>
      <c r="B727" s="17" t="s">
        <v>85</v>
      </c>
      <c r="C727" s="218" t="s">
        <v>23</v>
      </c>
      <c r="D727" s="31">
        <v>2</v>
      </c>
      <c r="E727" s="58">
        <v>90583</v>
      </c>
      <c r="F727" s="58">
        <f t="shared" si="38"/>
        <v>181166</v>
      </c>
    </row>
    <row r="728" spans="1:6" x14ac:dyDescent="0.25">
      <c r="A728" s="218">
        <f t="shared" si="37"/>
        <v>15</v>
      </c>
      <c r="B728" s="18" t="s">
        <v>43</v>
      </c>
      <c r="C728" s="20"/>
      <c r="D728" s="20"/>
      <c r="E728" s="58">
        <v>0</v>
      </c>
      <c r="F728" s="58">
        <f t="shared" si="38"/>
        <v>0</v>
      </c>
    </row>
    <row r="729" spans="1:6" ht="29.25" x14ac:dyDescent="0.25">
      <c r="A729" s="218">
        <f t="shared" si="37"/>
        <v>16</v>
      </c>
      <c r="B729" s="17" t="s">
        <v>44</v>
      </c>
      <c r="C729" s="218" t="s">
        <v>64</v>
      </c>
      <c r="D729" s="31">
        <v>9</v>
      </c>
      <c r="E729" s="58">
        <v>121019</v>
      </c>
      <c r="F729" s="58">
        <f t="shared" si="38"/>
        <v>1089171</v>
      </c>
    </row>
    <row r="730" spans="1:6" ht="29.25" x14ac:dyDescent="0.25">
      <c r="A730" s="218">
        <f t="shared" si="37"/>
        <v>17</v>
      </c>
      <c r="B730" s="17" t="s">
        <v>45</v>
      </c>
      <c r="C730" s="218" t="s">
        <v>64</v>
      </c>
      <c r="D730" s="31">
        <v>34</v>
      </c>
      <c r="E730" s="58">
        <v>22197</v>
      </c>
      <c r="F730" s="58">
        <f t="shared" si="38"/>
        <v>754698</v>
      </c>
    </row>
    <row r="731" spans="1:6" ht="29.25" x14ac:dyDescent="0.25">
      <c r="A731" s="218">
        <f t="shared" si="37"/>
        <v>18</v>
      </c>
      <c r="B731" s="17" t="s">
        <v>164</v>
      </c>
      <c r="C731" s="218" t="s">
        <v>64</v>
      </c>
      <c r="D731" s="31">
        <v>20</v>
      </c>
      <c r="E731" s="58">
        <v>145281</v>
      </c>
      <c r="F731" s="58">
        <f t="shared" si="38"/>
        <v>2905620</v>
      </c>
    </row>
    <row r="732" spans="1:6" x14ac:dyDescent="0.25">
      <c r="A732" s="218">
        <f t="shared" si="37"/>
        <v>19</v>
      </c>
      <c r="B732" s="18" t="s">
        <v>48</v>
      </c>
      <c r="C732" s="20"/>
      <c r="D732" s="20"/>
      <c r="E732" s="243">
        <v>0</v>
      </c>
      <c r="F732" s="243">
        <f t="shared" si="38"/>
        <v>0</v>
      </c>
    </row>
    <row r="733" spans="1:6" ht="43.5" x14ac:dyDescent="0.25">
      <c r="A733" s="218">
        <f t="shared" si="37"/>
        <v>20</v>
      </c>
      <c r="B733" s="17" t="s">
        <v>86</v>
      </c>
      <c r="C733" s="218" t="s">
        <v>64</v>
      </c>
      <c r="D733" s="31">
        <v>0.5</v>
      </c>
      <c r="E733" s="58">
        <v>607296</v>
      </c>
      <c r="F733" s="58">
        <f t="shared" si="38"/>
        <v>303648</v>
      </c>
    </row>
    <row r="734" spans="1:6" ht="43.5" x14ac:dyDescent="0.25">
      <c r="A734" s="218">
        <f t="shared" si="37"/>
        <v>21</v>
      </c>
      <c r="B734" s="17" t="s">
        <v>50</v>
      </c>
      <c r="C734" s="218" t="s">
        <v>64</v>
      </c>
      <c r="D734" s="31">
        <v>15</v>
      </c>
      <c r="E734" s="58">
        <v>824735</v>
      </c>
      <c r="F734" s="58">
        <f t="shared" si="38"/>
        <v>12371025</v>
      </c>
    </row>
    <row r="735" spans="1:6" ht="72" x14ac:dyDescent="0.25">
      <c r="A735" s="218">
        <f t="shared" si="37"/>
        <v>22</v>
      </c>
      <c r="B735" s="17" t="s">
        <v>820</v>
      </c>
      <c r="C735" s="218" t="s">
        <v>55</v>
      </c>
      <c r="D735" s="31">
        <v>4</v>
      </c>
      <c r="E735" s="59">
        <f>1673138</f>
        <v>1673138</v>
      </c>
      <c r="F735" s="58">
        <f t="shared" si="38"/>
        <v>6692552</v>
      </c>
    </row>
    <row r="736" spans="1:6" ht="43.5" x14ac:dyDescent="0.25">
      <c r="A736" s="218">
        <f t="shared" si="37"/>
        <v>23</v>
      </c>
      <c r="B736" s="17" t="s">
        <v>819</v>
      </c>
      <c r="C736" s="218" t="s">
        <v>23</v>
      </c>
      <c r="D736" s="31">
        <v>1</v>
      </c>
      <c r="E736" s="58">
        <v>788768</v>
      </c>
      <c r="F736" s="58">
        <f t="shared" si="38"/>
        <v>788768</v>
      </c>
    </row>
    <row r="737" spans="1:13" x14ac:dyDescent="0.25">
      <c r="A737" s="216"/>
      <c r="B737" s="18" t="s">
        <v>56</v>
      </c>
      <c r="C737" s="54"/>
      <c r="D737" s="130"/>
      <c r="E737" s="28"/>
      <c r="F737" s="28">
        <f>ROUND((F734+F733+F732+F731+F730+F729+F728+F727+F726+F725+F724+F723+F722+F721+F720+F719+F718+F717+F716+F715+F735+F736),0)</f>
        <v>37432979</v>
      </c>
    </row>
    <row r="738" spans="1:13" x14ac:dyDescent="0.25">
      <c r="A738" s="19"/>
      <c r="B738" s="19" t="s">
        <v>60</v>
      </c>
      <c r="C738" s="19"/>
      <c r="D738" s="19"/>
      <c r="E738" s="19"/>
      <c r="F738" s="29">
        <f>ROUND(F737/1.3495,0)</f>
        <v>27738406</v>
      </c>
    </row>
    <row r="739" spans="1:13" x14ac:dyDescent="0.25">
      <c r="A739" s="19"/>
      <c r="B739" s="19" t="s">
        <v>61</v>
      </c>
      <c r="C739" s="131">
        <v>0.24</v>
      </c>
      <c r="D739" s="19"/>
      <c r="E739" s="19"/>
      <c r="F739" s="29">
        <f>ROUND(F738*C739,0)</f>
        <v>6657217</v>
      </c>
    </row>
    <row r="740" spans="1:13" x14ac:dyDescent="0.25">
      <c r="A740" s="19"/>
      <c r="B740" s="19" t="s">
        <v>57</v>
      </c>
      <c r="C740" s="131">
        <v>0.05</v>
      </c>
      <c r="D740" s="19"/>
      <c r="E740" s="19"/>
      <c r="F740" s="29">
        <f>ROUND(F738*C740,0)</f>
        <v>1386920</v>
      </c>
    </row>
    <row r="741" spans="1:13" x14ac:dyDescent="0.25">
      <c r="A741" s="19"/>
      <c r="B741" s="19" t="s">
        <v>62</v>
      </c>
      <c r="C741" s="131">
        <v>0.05</v>
      </c>
      <c r="D741" s="19"/>
      <c r="E741" s="19"/>
      <c r="F741" s="29">
        <f>ROUND(F738*C741,0)</f>
        <v>1386920</v>
      </c>
    </row>
    <row r="742" spans="1:13" ht="29.25" x14ac:dyDescent="0.25">
      <c r="A742" s="19"/>
      <c r="B742" s="13" t="s">
        <v>63</v>
      </c>
      <c r="C742" s="133">
        <v>0.19</v>
      </c>
      <c r="D742" s="120"/>
      <c r="E742" s="120"/>
      <c r="F742" s="35">
        <f>ROUND(F741*19%,0)</f>
        <v>263515</v>
      </c>
    </row>
    <row r="743" spans="1:13" x14ac:dyDescent="0.25">
      <c r="A743" s="19"/>
      <c r="B743" s="18" t="s">
        <v>56</v>
      </c>
      <c r="C743" s="19"/>
      <c r="D743" s="19"/>
      <c r="E743" s="19"/>
      <c r="F743" s="30">
        <f>SUM(F738:F742)</f>
        <v>37432978</v>
      </c>
    </row>
    <row r="746" spans="1:13" x14ac:dyDescent="0.25">
      <c r="A746" s="250"/>
      <c r="B746" s="417" t="s">
        <v>184</v>
      </c>
      <c r="C746" s="418"/>
      <c r="D746" s="418"/>
      <c r="E746" s="419"/>
      <c r="F746" s="95">
        <f>F737+F703+F675+F633+F597+F561+F527+F487+F457+F417+F375+F334+F292+F243+F208+F160+F125+F84+F43</f>
        <v>769105276</v>
      </c>
      <c r="H746" s="80"/>
      <c r="I746" s="184"/>
      <c r="K746" s="80"/>
      <c r="L746" s="83"/>
      <c r="M746" s="83"/>
    </row>
  </sheetData>
  <mergeCells count="93">
    <mergeCell ref="C714:E714"/>
    <mergeCell ref="B746:E746"/>
    <mergeCell ref="C680:E680"/>
    <mergeCell ref="A711:F711"/>
    <mergeCell ref="A712:A713"/>
    <mergeCell ref="B712:B713"/>
    <mergeCell ref="C712:C713"/>
    <mergeCell ref="D712:F712"/>
    <mergeCell ref="C644:E644"/>
    <mergeCell ref="A677:F677"/>
    <mergeCell ref="A678:A679"/>
    <mergeCell ref="B678:B679"/>
    <mergeCell ref="C678:C679"/>
    <mergeCell ref="D678:F678"/>
    <mergeCell ref="C608:E608"/>
    <mergeCell ref="A641:F641"/>
    <mergeCell ref="A642:A643"/>
    <mergeCell ref="B642:B643"/>
    <mergeCell ref="C642:C643"/>
    <mergeCell ref="D642:F642"/>
    <mergeCell ref="C572:E572"/>
    <mergeCell ref="A605:F605"/>
    <mergeCell ref="A606:A607"/>
    <mergeCell ref="B606:B607"/>
    <mergeCell ref="C606:C607"/>
    <mergeCell ref="D606:F606"/>
    <mergeCell ref="C462:E462"/>
    <mergeCell ref="A495:F495"/>
    <mergeCell ref="A535:F535"/>
    <mergeCell ref="A569:F569"/>
    <mergeCell ref="A570:A571"/>
    <mergeCell ref="B570:B571"/>
    <mergeCell ref="C570:C571"/>
    <mergeCell ref="D570:F570"/>
    <mergeCell ref="C386:E386"/>
    <mergeCell ref="A425:F425"/>
    <mergeCell ref="D426:F426"/>
    <mergeCell ref="A459:F459"/>
    <mergeCell ref="A460:A461"/>
    <mergeCell ref="B460:B461"/>
    <mergeCell ref="C460:C461"/>
    <mergeCell ref="D460:F460"/>
    <mergeCell ref="A383:F383"/>
    <mergeCell ref="A384:A385"/>
    <mergeCell ref="B384:B385"/>
    <mergeCell ref="C384:C385"/>
    <mergeCell ref="D384:F384"/>
    <mergeCell ref="A343:A344"/>
    <mergeCell ref="B343:B344"/>
    <mergeCell ref="C343:C344"/>
    <mergeCell ref="D343:F343"/>
    <mergeCell ref="C345:E345"/>
    <mergeCell ref="C213:E213"/>
    <mergeCell ref="A251:F251"/>
    <mergeCell ref="D253:F253"/>
    <mergeCell ref="A300:F300"/>
    <mergeCell ref="A342:F342"/>
    <mergeCell ref="A210:F210"/>
    <mergeCell ref="A211:A212"/>
    <mergeCell ref="B211:B212"/>
    <mergeCell ref="C211:C212"/>
    <mergeCell ref="D211:F211"/>
    <mergeCell ref="A2:E2"/>
    <mergeCell ref="A4:F4"/>
    <mergeCell ref="A5:A6"/>
    <mergeCell ref="B5:B6"/>
    <mergeCell ref="C5:C6"/>
    <mergeCell ref="D5:F5"/>
    <mergeCell ref="C7:E7"/>
    <mergeCell ref="A45:F45"/>
    <mergeCell ref="A46:A47"/>
    <mergeCell ref="B46:B47"/>
    <mergeCell ref="C46:C47"/>
    <mergeCell ref="D46:F46"/>
    <mergeCell ref="C48:E48"/>
    <mergeCell ref="A86:F86"/>
    <mergeCell ref="A87:A88"/>
    <mergeCell ref="B87:B88"/>
    <mergeCell ref="C87:C88"/>
    <mergeCell ref="D87:F87"/>
    <mergeCell ref="C89:E89"/>
    <mergeCell ref="A127:F127"/>
    <mergeCell ref="A128:A129"/>
    <mergeCell ref="B128:B129"/>
    <mergeCell ref="C128:C129"/>
    <mergeCell ref="D128:F128"/>
    <mergeCell ref="C171:E171"/>
    <mergeCell ref="C130:E130"/>
    <mergeCell ref="A168:F168"/>
    <mergeCell ref="A169:A170"/>
    <mergeCell ref="B169:B170"/>
    <mergeCell ref="C169:C170"/>
    <mergeCell ref="D169:F169"/>
  </mergeCells>
  <pageMargins left="0.70866141732283472" right="0.70866141732283472" top="0.94488188976377963" bottom="1.3385826771653544" header="0.31496062992125984" footer="0.31496062992125984"/>
  <pageSetup scale="80" orientation="portrait" horizontalDpi="4294967295" verticalDpi="4294967295" r:id="rId1"/>
  <headerFooter>
    <oddHeader>&amp;C&amp;P de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97"/>
  <sheetViews>
    <sheetView view="pageLayout" topLeftCell="A551" zoomScaleNormal="100" workbookViewId="0">
      <selection activeCell="A560" sqref="A560"/>
    </sheetView>
  </sheetViews>
  <sheetFormatPr baseColWidth="10" defaultRowHeight="15" x14ac:dyDescent="0.25"/>
  <cols>
    <col min="1" max="1" width="9.5703125" style="81" customWidth="1"/>
    <col min="2" max="2" width="34" style="81" customWidth="1"/>
    <col min="3" max="3" width="11.42578125" style="81"/>
    <col min="4" max="4" width="15.5703125" style="81" bestFit="1" customWidth="1"/>
    <col min="5" max="5" width="16.5703125" style="81" customWidth="1"/>
    <col min="6" max="6" width="26" style="81" bestFit="1" customWidth="1"/>
    <col min="7" max="7" width="11.42578125" style="81"/>
    <col min="8" max="10" width="12.5703125" style="81" bestFit="1" customWidth="1"/>
    <col min="11" max="11" width="11.42578125" style="81"/>
    <col min="12" max="12" width="17.7109375" style="81" customWidth="1"/>
    <col min="13" max="16384" width="11.42578125" style="81"/>
  </cols>
  <sheetData>
    <row r="2" spans="1:11" x14ac:dyDescent="0.25">
      <c r="B2" s="425" t="s">
        <v>843</v>
      </c>
      <c r="C2" s="425"/>
      <c r="D2" s="425"/>
      <c r="E2" s="425"/>
      <c r="F2" s="425"/>
    </row>
    <row r="3" spans="1:11" x14ac:dyDescent="0.25">
      <c r="B3" s="276" t="s">
        <v>2</v>
      </c>
      <c r="C3" s="276"/>
      <c r="D3" s="276"/>
      <c r="E3" s="276"/>
      <c r="F3" s="276"/>
    </row>
    <row r="5" spans="1:11" ht="43.5" customHeight="1" x14ac:dyDescent="0.25">
      <c r="A5" s="422" t="s">
        <v>307</v>
      </c>
      <c r="B5" s="422"/>
      <c r="C5" s="422"/>
      <c r="D5" s="422"/>
      <c r="E5" s="422"/>
      <c r="F5" s="422"/>
    </row>
    <row r="6" spans="1:11" x14ac:dyDescent="0.25">
      <c r="A6" s="420" t="s">
        <v>10</v>
      </c>
      <c r="B6" s="420" t="s">
        <v>0</v>
      </c>
      <c r="C6" s="420" t="s">
        <v>11</v>
      </c>
      <c r="D6" s="420" t="s">
        <v>12</v>
      </c>
      <c r="E6" s="420"/>
      <c r="F6" s="420"/>
    </row>
    <row r="7" spans="1:11" x14ac:dyDescent="0.25">
      <c r="A7" s="420"/>
      <c r="B7" s="420"/>
      <c r="C7" s="420"/>
      <c r="D7" s="54" t="s">
        <v>13</v>
      </c>
      <c r="E7" s="54" t="s">
        <v>14</v>
      </c>
      <c r="F7" s="54" t="s">
        <v>15</v>
      </c>
    </row>
    <row r="8" spans="1:11" x14ac:dyDescent="0.25">
      <c r="A8" s="218">
        <v>1</v>
      </c>
      <c r="B8" s="18" t="s">
        <v>16</v>
      </c>
      <c r="C8" s="420"/>
      <c r="D8" s="420"/>
      <c r="E8" s="420"/>
      <c r="F8" s="20"/>
    </row>
    <row r="9" spans="1:11" x14ac:dyDescent="0.25">
      <c r="A9" s="218">
        <f>A8+1</f>
        <v>2</v>
      </c>
      <c r="B9" s="55" t="s">
        <v>174</v>
      </c>
      <c r="C9" s="119" t="s">
        <v>18</v>
      </c>
      <c r="D9" s="61">
        <v>600</v>
      </c>
      <c r="E9" s="243">
        <v>5230</v>
      </c>
      <c r="F9" s="243">
        <f>D9*E9</f>
        <v>3138000</v>
      </c>
      <c r="K9" s="80"/>
    </row>
    <row r="10" spans="1:11" x14ac:dyDescent="0.25">
      <c r="A10" s="218">
        <f t="shared" ref="A10:A42" si="0">A9+1</f>
        <v>3</v>
      </c>
      <c r="B10" s="18" t="s">
        <v>25</v>
      </c>
      <c r="C10" s="20"/>
      <c r="D10" s="277"/>
      <c r="E10" s="243">
        <v>0</v>
      </c>
      <c r="F10" s="243">
        <f t="shared" ref="F10:F42" si="1">D10*E10</f>
        <v>0</v>
      </c>
    </row>
    <row r="11" spans="1:11" ht="43.5" x14ac:dyDescent="0.25">
      <c r="A11" s="218">
        <f t="shared" si="0"/>
        <v>4</v>
      </c>
      <c r="B11" s="17" t="s">
        <v>78</v>
      </c>
      <c r="C11" s="119" t="s">
        <v>64</v>
      </c>
      <c r="D11" s="61">
        <v>1</v>
      </c>
      <c r="E11" s="243">
        <v>83560</v>
      </c>
      <c r="F11" s="243">
        <f t="shared" si="1"/>
        <v>83560</v>
      </c>
    </row>
    <row r="12" spans="1:11" x14ac:dyDescent="0.25">
      <c r="A12" s="218">
        <f t="shared" si="0"/>
        <v>5</v>
      </c>
      <c r="B12" s="18" t="s">
        <v>28</v>
      </c>
      <c r="C12" s="20"/>
      <c r="D12" s="277"/>
      <c r="E12" s="243">
        <v>0</v>
      </c>
      <c r="F12" s="243">
        <f t="shared" si="1"/>
        <v>0</v>
      </c>
    </row>
    <row r="13" spans="1:11" x14ac:dyDescent="0.25">
      <c r="A13" s="218">
        <f t="shared" si="0"/>
        <v>6</v>
      </c>
      <c r="B13" s="55" t="s">
        <v>79</v>
      </c>
      <c r="C13" s="119" t="s">
        <v>64</v>
      </c>
      <c r="D13" s="61">
        <v>360</v>
      </c>
      <c r="E13" s="243">
        <v>26395</v>
      </c>
      <c r="F13" s="243">
        <f t="shared" si="1"/>
        <v>9502200</v>
      </c>
    </row>
    <row r="14" spans="1:11" ht="29.25" x14ac:dyDescent="0.25">
      <c r="A14" s="218">
        <f t="shared" si="0"/>
        <v>7</v>
      </c>
      <c r="B14" s="17" t="s">
        <v>308</v>
      </c>
      <c r="C14" s="119" t="s">
        <v>64</v>
      </c>
      <c r="D14" s="61">
        <v>135</v>
      </c>
      <c r="E14" s="243">
        <v>32848</v>
      </c>
      <c r="F14" s="243">
        <f t="shared" si="1"/>
        <v>4434480</v>
      </c>
    </row>
    <row r="15" spans="1:11" x14ac:dyDescent="0.25">
      <c r="A15" s="218">
        <f t="shared" si="0"/>
        <v>8</v>
      </c>
      <c r="B15" s="18" t="s">
        <v>80</v>
      </c>
      <c r="C15" s="20"/>
      <c r="D15" s="277"/>
      <c r="E15" s="243">
        <v>0</v>
      </c>
      <c r="F15" s="243">
        <f t="shared" si="1"/>
        <v>0</v>
      </c>
    </row>
    <row r="16" spans="1:11" x14ac:dyDescent="0.25">
      <c r="A16" s="218">
        <f t="shared" si="0"/>
        <v>9</v>
      </c>
      <c r="B16" s="55" t="s">
        <v>309</v>
      </c>
      <c r="C16" s="119" t="s">
        <v>18</v>
      </c>
      <c r="D16" s="61">
        <v>160</v>
      </c>
      <c r="E16" s="243">
        <f>1981*8</f>
        <v>15848</v>
      </c>
      <c r="F16" s="243">
        <f t="shared" si="1"/>
        <v>2535680</v>
      </c>
    </row>
    <row r="17" spans="1:11" x14ac:dyDescent="0.25">
      <c r="A17" s="218">
        <f t="shared" si="0"/>
        <v>10</v>
      </c>
      <c r="B17" s="17" t="s">
        <v>310</v>
      </c>
      <c r="C17" s="119" t="s">
        <v>37</v>
      </c>
      <c r="D17" s="61">
        <v>2</v>
      </c>
      <c r="E17" s="243">
        <v>165000</v>
      </c>
      <c r="F17" s="243">
        <f t="shared" si="1"/>
        <v>330000</v>
      </c>
    </row>
    <row r="18" spans="1:11" ht="28.5" x14ac:dyDescent="0.25">
      <c r="A18" s="218">
        <f t="shared" si="0"/>
        <v>11</v>
      </c>
      <c r="B18" s="57" t="s">
        <v>311</v>
      </c>
      <c r="C18" s="119" t="s">
        <v>37</v>
      </c>
      <c r="D18" s="61">
        <v>1</v>
      </c>
      <c r="E18" s="243">
        <v>210191</v>
      </c>
      <c r="F18" s="243">
        <f t="shared" si="1"/>
        <v>210191</v>
      </c>
    </row>
    <row r="19" spans="1:11" ht="43.5" x14ac:dyDescent="0.25">
      <c r="A19" s="218">
        <f t="shared" si="0"/>
        <v>12</v>
      </c>
      <c r="B19" s="17" t="s">
        <v>93</v>
      </c>
      <c r="C19" s="119" t="s">
        <v>37</v>
      </c>
      <c r="D19" s="61">
        <v>1</v>
      </c>
      <c r="E19" s="243">
        <v>345600</v>
      </c>
      <c r="F19" s="243">
        <f t="shared" si="1"/>
        <v>345600</v>
      </c>
    </row>
    <row r="20" spans="1:11" x14ac:dyDescent="0.25">
      <c r="A20" s="218">
        <f t="shared" si="0"/>
        <v>13</v>
      </c>
      <c r="B20" s="55" t="s">
        <v>85</v>
      </c>
      <c r="C20" s="119" t="s">
        <v>23</v>
      </c>
      <c r="D20" s="61">
        <v>4</v>
      </c>
      <c r="E20" s="243">
        <v>90583</v>
      </c>
      <c r="F20" s="243">
        <f t="shared" si="1"/>
        <v>362332</v>
      </c>
    </row>
    <row r="21" spans="1:11" x14ac:dyDescent="0.25">
      <c r="A21" s="218">
        <f t="shared" si="0"/>
        <v>14</v>
      </c>
      <c r="B21" s="18" t="s">
        <v>43</v>
      </c>
      <c r="C21" s="20"/>
      <c r="D21" s="277"/>
      <c r="E21" s="243">
        <v>0</v>
      </c>
      <c r="F21" s="243">
        <f t="shared" si="1"/>
        <v>0</v>
      </c>
    </row>
    <row r="22" spans="1:11" ht="29.25" x14ac:dyDescent="0.25">
      <c r="A22" s="218">
        <f t="shared" si="0"/>
        <v>15</v>
      </c>
      <c r="B22" s="17" t="s">
        <v>45</v>
      </c>
      <c r="C22" s="119" t="s">
        <v>64</v>
      </c>
      <c r="D22" s="61">
        <v>282</v>
      </c>
      <c r="E22" s="243">
        <v>22197</v>
      </c>
      <c r="F22" s="243">
        <f t="shared" si="1"/>
        <v>6259554</v>
      </c>
    </row>
    <row r="23" spans="1:11" x14ac:dyDescent="0.25">
      <c r="A23" s="218">
        <f t="shared" si="0"/>
        <v>16</v>
      </c>
      <c r="B23" s="18" t="s">
        <v>48</v>
      </c>
      <c r="C23" s="20"/>
      <c r="D23" s="277"/>
      <c r="E23" s="243">
        <v>0</v>
      </c>
      <c r="F23" s="243">
        <f t="shared" si="1"/>
        <v>0</v>
      </c>
    </row>
    <row r="24" spans="1:11" ht="29.25" x14ac:dyDescent="0.25">
      <c r="A24" s="218">
        <f t="shared" si="0"/>
        <v>17</v>
      </c>
      <c r="B24" s="17" t="s">
        <v>312</v>
      </c>
      <c r="C24" s="119" t="s">
        <v>64</v>
      </c>
      <c r="D24" s="61">
        <v>2</v>
      </c>
      <c r="E24" s="243">
        <v>720000</v>
      </c>
      <c r="F24" s="243">
        <f t="shared" si="1"/>
        <v>1440000</v>
      </c>
    </row>
    <row r="25" spans="1:11" x14ac:dyDescent="0.25">
      <c r="A25" s="218">
        <f t="shared" si="0"/>
        <v>18</v>
      </c>
      <c r="B25" s="18" t="s">
        <v>51</v>
      </c>
      <c r="C25" s="20"/>
      <c r="D25" s="277"/>
      <c r="E25" s="243">
        <v>0</v>
      </c>
      <c r="F25" s="243">
        <f t="shared" si="1"/>
        <v>0</v>
      </c>
    </row>
    <row r="26" spans="1:11" x14ac:dyDescent="0.25">
      <c r="A26" s="218">
        <f t="shared" si="0"/>
        <v>19</v>
      </c>
      <c r="B26" s="55" t="s">
        <v>88</v>
      </c>
      <c r="C26" s="119" t="s">
        <v>53</v>
      </c>
      <c r="D26" s="61">
        <v>36</v>
      </c>
      <c r="E26" s="243">
        <v>5922</v>
      </c>
      <c r="F26" s="243">
        <f t="shared" si="1"/>
        <v>213192</v>
      </c>
      <c r="K26" s="80"/>
    </row>
    <row r="27" spans="1:11" x14ac:dyDescent="0.25">
      <c r="A27" s="218">
        <f t="shared" si="0"/>
        <v>20</v>
      </c>
      <c r="B27" s="18" t="s">
        <v>313</v>
      </c>
      <c r="C27" s="20"/>
      <c r="D27" s="277"/>
      <c r="E27" s="243">
        <v>0</v>
      </c>
      <c r="F27" s="243">
        <f t="shared" si="1"/>
        <v>0</v>
      </c>
    </row>
    <row r="28" spans="1:11" ht="43.5" x14ac:dyDescent="0.25">
      <c r="A28" s="218">
        <f t="shared" si="0"/>
        <v>21</v>
      </c>
      <c r="B28" s="17" t="s">
        <v>27</v>
      </c>
      <c r="C28" s="119" t="s">
        <v>64</v>
      </c>
      <c r="D28" s="61">
        <v>10</v>
      </c>
      <c r="E28" s="243">
        <v>83560</v>
      </c>
      <c r="F28" s="243">
        <f t="shared" si="1"/>
        <v>835600</v>
      </c>
    </row>
    <row r="29" spans="1:11" x14ac:dyDescent="0.25">
      <c r="A29" s="218">
        <f t="shared" si="0"/>
        <v>22</v>
      </c>
      <c r="B29" s="18" t="s">
        <v>28</v>
      </c>
      <c r="C29" s="20"/>
      <c r="D29" s="277"/>
      <c r="E29" s="243">
        <v>0</v>
      </c>
      <c r="F29" s="243">
        <f t="shared" si="1"/>
        <v>0</v>
      </c>
    </row>
    <row r="30" spans="1:11" x14ac:dyDescent="0.25">
      <c r="A30" s="218">
        <f t="shared" si="0"/>
        <v>23</v>
      </c>
      <c r="B30" s="55" t="s">
        <v>29</v>
      </c>
      <c r="C30" s="119" t="s">
        <v>64</v>
      </c>
      <c r="D30" s="61">
        <v>43.199999999999996</v>
      </c>
      <c r="E30" s="243">
        <v>26395</v>
      </c>
      <c r="F30" s="243">
        <f t="shared" si="1"/>
        <v>1140264</v>
      </c>
    </row>
    <row r="31" spans="1:11" x14ac:dyDescent="0.25">
      <c r="A31" s="218">
        <f t="shared" si="0"/>
        <v>24</v>
      </c>
      <c r="B31" s="55" t="s">
        <v>314</v>
      </c>
      <c r="C31" s="119" t="s">
        <v>64</v>
      </c>
      <c r="D31" s="61">
        <v>6</v>
      </c>
      <c r="E31" s="243">
        <v>32848</v>
      </c>
      <c r="F31" s="243">
        <f t="shared" si="1"/>
        <v>197088</v>
      </c>
    </row>
    <row r="32" spans="1:11" ht="29.25" x14ac:dyDescent="0.25">
      <c r="A32" s="218">
        <f t="shared" si="0"/>
        <v>25</v>
      </c>
      <c r="B32" s="17" t="s">
        <v>315</v>
      </c>
      <c r="C32" s="119" t="s">
        <v>18</v>
      </c>
      <c r="D32" s="61">
        <v>120</v>
      </c>
      <c r="E32" s="243">
        <v>50000</v>
      </c>
      <c r="F32" s="243">
        <f t="shared" si="1"/>
        <v>6000000</v>
      </c>
    </row>
    <row r="33" spans="1:6" ht="29.25" x14ac:dyDescent="0.25">
      <c r="A33" s="218">
        <f t="shared" si="0"/>
        <v>26</v>
      </c>
      <c r="B33" s="17" t="s">
        <v>316</v>
      </c>
      <c r="C33" s="119" t="s">
        <v>120</v>
      </c>
      <c r="D33" s="61">
        <v>2</v>
      </c>
      <c r="E33" s="243">
        <v>250000</v>
      </c>
      <c r="F33" s="243">
        <f t="shared" si="1"/>
        <v>500000</v>
      </c>
    </row>
    <row r="34" spans="1:6" ht="29.25" x14ac:dyDescent="0.25">
      <c r="A34" s="218">
        <f t="shared" si="0"/>
        <v>27</v>
      </c>
      <c r="B34" s="17" t="s">
        <v>317</v>
      </c>
      <c r="C34" s="119" t="s">
        <v>37</v>
      </c>
      <c r="D34" s="61">
        <v>3</v>
      </c>
      <c r="E34" s="243">
        <v>495000</v>
      </c>
      <c r="F34" s="243">
        <f t="shared" si="1"/>
        <v>1485000</v>
      </c>
    </row>
    <row r="35" spans="1:6" ht="43.5" x14ac:dyDescent="0.25">
      <c r="A35" s="218">
        <f t="shared" si="0"/>
        <v>28</v>
      </c>
      <c r="B35" s="17" t="s">
        <v>318</v>
      </c>
      <c r="C35" s="119" t="s">
        <v>37</v>
      </c>
      <c r="D35" s="61">
        <v>2</v>
      </c>
      <c r="E35" s="243">
        <v>350000</v>
      </c>
      <c r="F35" s="243">
        <f t="shared" si="1"/>
        <v>700000</v>
      </c>
    </row>
    <row r="36" spans="1:6" x14ac:dyDescent="0.25">
      <c r="A36" s="218">
        <f t="shared" si="0"/>
        <v>29</v>
      </c>
      <c r="B36" s="18" t="s">
        <v>80</v>
      </c>
      <c r="C36" s="20"/>
      <c r="D36" s="277"/>
      <c r="E36" s="243">
        <v>0</v>
      </c>
      <c r="F36" s="243">
        <f t="shared" si="1"/>
        <v>0</v>
      </c>
    </row>
    <row r="37" spans="1:6" ht="29.25" x14ac:dyDescent="0.25">
      <c r="A37" s="218">
        <f t="shared" si="0"/>
        <v>30</v>
      </c>
      <c r="B37" s="17" t="s">
        <v>319</v>
      </c>
      <c r="C37" s="119" t="s">
        <v>18</v>
      </c>
      <c r="D37" s="61">
        <v>80</v>
      </c>
      <c r="E37" s="243">
        <v>85000</v>
      </c>
      <c r="F37" s="243">
        <f t="shared" si="1"/>
        <v>6800000</v>
      </c>
    </row>
    <row r="38" spans="1:6" ht="29.25" x14ac:dyDescent="0.25">
      <c r="A38" s="218">
        <f t="shared" si="0"/>
        <v>31</v>
      </c>
      <c r="B38" s="17" t="s">
        <v>320</v>
      </c>
      <c r="C38" s="119" t="s">
        <v>37</v>
      </c>
      <c r="D38" s="61">
        <v>28</v>
      </c>
      <c r="E38" s="243">
        <v>125000</v>
      </c>
      <c r="F38" s="243">
        <f t="shared" si="1"/>
        <v>3500000</v>
      </c>
    </row>
    <row r="39" spans="1:6" ht="28.5" x14ac:dyDescent="0.25">
      <c r="A39" s="218">
        <f t="shared" si="0"/>
        <v>32</v>
      </c>
      <c r="B39" s="57" t="s">
        <v>321</v>
      </c>
      <c r="C39" s="119" t="s">
        <v>37</v>
      </c>
      <c r="D39" s="61">
        <v>4</v>
      </c>
      <c r="E39" s="243">
        <v>180000</v>
      </c>
      <c r="F39" s="243">
        <f t="shared" si="1"/>
        <v>720000</v>
      </c>
    </row>
    <row r="40" spans="1:6" x14ac:dyDescent="0.25">
      <c r="A40" s="218">
        <f t="shared" si="0"/>
        <v>33</v>
      </c>
      <c r="B40" s="18" t="s">
        <v>48</v>
      </c>
      <c r="C40" s="20"/>
      <c r="D40" s="277"/>
      <c r="E40" s="243">
        <v>0</v>
      </c>
      <c r="F40" s="243">
        <f t="shared" si="1"/>
        <v>0</v>
      </c>
    </row>
    <row r="41" spans="1:6" ht="29.25" x14ac:dyDescent="0.25">
      <c r="A41" s="218">
        <f t="shared" si="0"/>
        <v>34</v>
      </c>
      <c r="B41" s="17" t="s">
        <v>322</v>
      </c>
      <c r="C41" s="119" t="s">
        <v>18</v>
      </c>
      <c r="D41" s="61">
        <v>12.5</v>
      </c>
      <c r="E41" s="278">
        <v>1086997</v>
      </c>
      <c r="F41" s="243">
        <f t="shared" si="1"/>
        <v>13587462.5</v>
      </c>
    </row>
    <row r="42" spans="1:6" ht="29.25" x14ac:dyDescent="0.25">
      <c r="A42" s="218">
        <f t="shared" si="0"/>
        <v>35</v>
      </c>
      <c r="B42" s="17" t="s">
        <v>323</v>
      </c>
      <c r="C42" s="119" t="s">
        <v>324</v>
      </c>
      <c r="D42" s="61">
        <v>372</v>
      </c>
      <c r="E42" s="242">
        <v>5922</v>
      </c>
      <c r="F42" s="243">
        <f t="shared" si="1"/>
        <v>2202984</v>
      </c>
    </row>
    <row r="43" spans="1:6" x14ac:dyDescent="0.25">
      <c r="A43" s="216"/>
      <c r="B43" s="18" t="s">
        <v>56</v>
      </c>
      <c r="C43" s="54"/>
      <c r="D43" s="130"/>
      <c r="E43" s="28"/>
      <c r="F43" s="28">
        <f>F42+F41+F39+F40+F38+F37+F36+F35+F34+F33+F32+F31+F30+F29+F28+F27+F26+F25+F24+F23+F22+F21+F19+F18+F17+F16+F15+F14+F13+F12+F11+F10+F9+F20</f>
        <v>66523187.5</v>
      </c>
    </row>
    <row r="44" spans="1:6" x14ac:dyDescent="0.25">
      <c r="A44" s="19"/>
      <c r="B44" s="19" t="s">
        <v>60</v>
      </c>
      <c r="C44" s="19"/>
      <c r="D44" s="19"/>
      <c r="E44" s="19"/>
      <c r="F44" s="29">
        <f>ROUND(F43/1.3495,0)</f>
        <v>49294692</v>
      </c>
    </row>
    <row r="45" spans="1:6" x14ac:dyDescent="0.25">
      <c r="A45" s="19"/>
      <c r="B45" s="19" t="s">
        <v>61</v>
      </c>
      <c r="C45" s="131">
        <v>0.24</v>
      </c>
      <c r="D45" s="19"/>
      <c r="E45" s="19"/>
      <c r="F45" s="29">
        <f>ROUND(F44*C45,0)</f>
        <v>11830726</v>
      </c>
    </row>
    <row r="46" spans="1:6" x14ac:dyDescent="0.25">
      <c r="A46" s="19"/>
      <c r="B46" s="19" t="s">
        <v>57</v>
      </c>
      <c r="C46" s="131">
        <v>0.05</v>
      </c>
      <c r="D46" s="19"/>
      <c r="E46" s="19"/>
      <c r="F46" s="29">
        <f>ROUND(F44*C46,0)</f>
        <v>2464735</v>
      </c>
    </row>
    <row r="47" spans="1:6" x14ac:dyDescent="0.25">
      <c r="A47" s="19"/>
      <c r="B47" s="19" t="s">
        <v>62</v>
      </c>
      <c r="C47" s="131">
        <v>0.05</v>
      </c>
      <c r="D47" s="19"/>
      <c r="E47" s="19"/>
      <c r="F47" s="29">
        <f>ROUND(F44*C47,0)</f>
        <v>2464735</v>
      </c>
    </row>
    <row r="48" spans="1:6" x14ac:dyDescent="0.25">
      <c r="A48" s="19"/>
      <c r="B48" s="132" t="s">
        <v>63</v>
      </c>
      <c r="C48" s="133">
        <v>0.19</v>
      </c>
      <c r="D48" s="120"/>
      <c r="E48" s="120"/>
      <c r="F48" s="35">
        <f>ROUND(F47*19%,0)</f>
        <v>468300</v>
      </c>
    </row>
    <row r="49" spans="1:11" x14ac:dyDescent="0.25">
      <c r="A49" s="19"/>
      <c r="B49" s="18" t="s">
        <v>56</v>
      </c>
      <c r="C49" s="19"/>
      <c r="D49" s="19"/>
      <c r="E49" s="19"/>
      <c r="F49" s="30">
        <f>SUM(F44:F48)</f>
        <v>66523188</v>
      </c>
    </row>
    <row r="50" spans="1:11" x14ac:dyDescent="0.25">
      <c r="A50" s="19"/>
      <c r="B50" s="18"/>
      <c r="C50" s="19"/>
      <c r="D50" s="19"/>
      <c r="E50" s="19"/>
      <c r="F50" s="30"/>
    </row>
    <row r="51" spans="1:11" x14ac:dyDescent="0.25">
      <c r="A51" s="19"/>
      <c r="B51" s="18"/>
      <c r="C51" s="19"/>
      <c r="D51" s="19"/>
      <c r="E51" s="19"/>
      <c r="F51" s="30"/>
    </row>
    <row r="52" spans="1:11" ht="43.5" customHeight="1" x14ac:dyDescent="0.25">
      <c r="A52" s="426" t="s">
        <v>326</v>
      </c>
      <c r="B52" s="426"/>
      <c r="C52" s="426"/>
      <c r="D52" s="426"/>
      <c r="E52" s="426"/>
      <c r="F52" s="426"/>
    </row>
    <row r="53" spans="1:11" ht="15.75" x14ac:dyDescent="0.25">
      <c r="A53" s="424" t="s">
        <v>10</v>
      </c>
      <c r="B53" s="424" t="s">
        <v>0</v>
      </c>
      <c r="C53" s="424" t="s">
        <v>11</v>
      </c>
      <c r="D53" s="424" t="s">
        <v>12</v>
      </c>
      <c r="E53" s="424"/>
      <c r="F53" s="424"/>
    </row>
    <row r="54" spans="1:11" ht="15.75" x14ac:dyDescent="0.25">
      <c r="A54" s="424"/>
      <c r="B54" s="424"/>
      <c r="C54" s="424"/>
      <c r="D54" s="224" t="s">
        <v>13</v>
      </c>
      <c r="E54" s="224" t="s">
        <v>14</v>
      </c>
      <c r="F54" s="224" t="s">
        <v>15</v>
      </c>
    </row>
    <row r="55" spans="1:11" ht="15.75" x14ac:dyDescent="0.25">
      <c r="A55" s="218">
        <f t="shared" ref="A55:A85" si="2">A54+1</f>
        <v>1</v>
      </c>
      <c r="B55" s="225" t="s">
        <v>16</v>
      </c>
      <c r="C55" s="424"/>
      <c r="D55" s="424"/>
      <c r="E55" s="424"/>
      <c r="F55" s="226"/>
    </row>
    <row r="56" spans="1:11" ht="30.75" x14ac:dyDescent="0.25">
      <c r="A56" s="218">
        <f t="shared" si="2"/>
        <v>2</v>
      </c>
      <c r="B56" s="227" t="s">
        <v>17</v>
      </c>
      <c r="C56" s="208" t="s">
        <v>18</v>
      </c>
      <c r="D56" s="31">
        <v>54</v>
      </c>
      <c r="E56" s="59">
        <v>5214</v>
      </c>
      <c r="F56" s="279">
        <f>D56*E56</f>
        <v>281556</v>
      </c>
    </row>
    <row r="57" spans="1:11" ht="45.75" x14ac:dyDescent="0.25">
      <c r="A57" s="218">
        <f t="shared" si="2"/>
        <v>3</v>
      </c>
      <c r="B57" s="227" t="s">
        <v>21</v>
      </c>
      <c r="C57" s="208" t="s">
        <v>18</v>
      </c>
      <c r="D57" s="31">
        <v>120</v>
      </c>
      <c r="E57" s="59">
        <v>13608</v>
      </c>
      <c r="F57" s="279">
        <f t="shared" ref="F57:F85" si="3">D57*E57</f>
        <v>1632960</v>
      </c>
    </row>
    <row r="58" spans="1:11" ht="15.75" x14ac:dyDescent="0.25">
      <c r="A58" s="218">
        <f t="shared" si="2"/>
        <v>4</v>
      </c>
      <c r="B58" s="210" t="s">
        <v>22</v>
      </c>
      <c r="C58" s="208" t="s">
        <v>120</v>
      </c>
      <c r="D58" s="31">
        <v>2</v>
      </c>
      <c r="E58" s="59">
        <v>155349</v>
      </c>
      <c r="F58" s="279">
        <f t="shared" si="3"/>
        <v>310698</v>
      </c>
      <c r="K58" s="80"/>
    </row>
    <row r="59" spans="1:11" ht="15.75" x14ac:dyDescent="0.25">
      <c r="A59" s="218">
        <f t="shared" si="2"/>
        <v>5</v>
      </c>
      <c r="B59" s="225" t="s">
        <v>25</v>
      </c>
      <c r="C59" s="226"/>
      <c r="D59" s="20"/>
      <c r="E59" s="59">
        <v>0</v>
      </c>
      <c r="F59" s="279">
        <f t="shared" si="3"/>
        <v>0</v>
      </c>
    </row>
    <row r="60" spans="1:11" ht="15.75" x14ac:dyDescent="0.25">
      <c r="A60" s="218">
        <f t="shared" si="2"/>
        <v>6</v>
      </c>
      <c r="B60" s="232" t="s">
        <v>26</v>
      </c>
      <c r="C60" s="208" t="s">
        <v>18</v>
      </c>
      <c r="D60" s="31">
        <v>156</v>
      </c>
      <c r="E60" s="59">
        <v>7630</v>
      </c>
      <c r="F60" s="279">
        <f t="shared" si="3"/>
        <v>1190280</v>
      </c>
    </row>
    <row r="61" spans="1:11" ht="45.75" x14ac:dyDescent="0.25">
      <c r="A61" s="218">
        <f t="shared" si="2"/>
        <v>7</v>
      </c>
      <c r="B61" s="227" t="s">
        <v>27</v>
      </c>
      <c r="C61" s="208" t="s">
        <v>325</v>
      </c>
      <c r="D61" s="31">
        <v>11</v>
      </c>
      <c r="E61" s="59">
        <v>83312</v>
      </c>
      <c r="F61" s="279">
        <f t="shared" si="3"/>
        <v>916432</v>
      </c>
    </row>
    <row r="62" spans="1:11" ht="15.75" x14ac:dyDescent="0.25">
      <c r="A62" s="218">
        <f t="shared" si="2"/>
        <v>8</v>
      </c>
      <c r="B62" s="225" t="s">
        <v>28</v>
      </c>
      <c r="C62" s="226"/>
      <c r="D62" s="20"/>
      <c r="E62" s="59">
        <v>0</v>
      </c>
      <c r="F62" s="279">
        <f t="shared" si="3"/>
        <v>0</v>
      </c>
    </row>
    <row r="63" spans="1:11" ht="15.75" x14ac:dyDescent="0.25">
      <c r="A63" s="218">
        <f t="shared" si="2"/>
        <v>9</v>
      </c>
      <c r="B63" s="210" t="s">
        <v>29</v>
      </c>
      <c r="C63" s="208" t="s">
        <v>325</v>
      </c>
      <c r="D63" s="31">
        <v>100</v>
      </c>
      <c r="E63" s="59">
        <v>26317</v>
      </c>
      <c r="F63" s="279">
        <f t="shared" si="3"/>
        <v>2631700</v>
      </c>
    </row>
    <row r="64" spans="1:11" ht="15.75" x14ac:dyDescent="0.25">
      <c r="A64" s="218">
        <f t="shared" si="2"/>
        <v>10</v>
      </c>
      <c r="B64" s="210" t="s">
        <v>327</v>
      </c>
      <c r="C64" s="208" t="s">
        <v>325</v>
      </c>
      <c r="D64" s="31">
        <v>68</v>
      </c>
      <c r="E64" s="59">
        <v>48600</v>
      </c>
      <c r="F64" s="279">
        <f t="shared" si="3"/>
        <v>3304800</v>
      </c>
    </row>
    <row r="65" spans="1:6" ht="15.75" x14ac:dyDescent="0.25">
      <c r="A65" s="218">
        <f t="shared" si="2"/>
        <v>11</v>
      </c>
      <c r="B65" s="210" t="s">
        <v>31</v>
      </c>
      <c r="C65" s="208" t="s">
        <v>18</v>
      </c>
      <c r="D65" s="31">
        <v>10</v>
      </c>
      <c r="E65" s="59">
        <v>31128</v>
      </c>
      <c r="F65" s="279">
        <f t="shared" si="3"/>
        <v>311280</v>
      </c>
    </row>
    <row r="66" spans="1:6" ht="45.75" x14ac:dyDescent="0.25">
      <c r="A66" s="218">
        <f t="shared" si="2"/>
        <v>12</v>
      </c>
      <c r="B66" s="227" t="s">
        <v>328</v>
      </c>
      <c r="C66" s="208" t="s">
        <v>325</v>
      </c>
      <c r="D66" s="31">
        <v>54</v>
      </c>
      <c r="E66" s="59">
        <v>65400</v>
      </c>
      <c r="F66" s="279">
        <f t="shared" si="3"/>
        <v>3531600</v>
      </c>
    </row>
    <row r="67" spans="1:6" ht="31.5" x14ac:dyDescent="0.25">
      <c r="A67" s="218">
        <f t="shared" si="2"/>
        <v>13</v>
      </c>
      <c r="B67" s="231" t="s">
        <v>33</v>
      </c>
      <c r="C67" s="226"/>
      <c r="D67" s="20"/>
      <c r="E67" s="242">
        <v>0</v>
      </c>
      <c r="F67" s="230">
        <f t="shared" si="3"/>
        <v>0</v>
      </c>
    </row>
    <row r="68" spans="1:6" ht="30.75" x14ac:dyDescent="0.25">
      <c r="A68" s="218">
        <f t="shared" si="2"/>
        <v>14</v>
      </c>
      <c r="B68" s="227" t="s">
        <v>99</v>
      </c>
      <c r="C68" s="209" t="s">
        <v>18</v>
      </c>
      <c r="D68" s="61">
        <v>54</v>
      </c>
      <c r="E68" s="242">
        <f>14*1981</f>
        <v>27734</v>
      </c>
      <c r="F68" s="230">
        <f t="shared" si="3"/>
        <v>1497636</v>
      </c>
    </row>
    <row r="69" spans="1:6" ht="60" x14ac:dyDescent="0.25">
      <c r="A69" s="218">
        <f t="shared" si="2"/>
        <v>15</v>
      </c>
      <c r="B69" s="234" t="s">
        <v>35</v>
      </c>
      <c r="C69" s="209" t="s">
        <v>18</v>
      </c>
      <c r="D69" s="61">
        <v>2</v>
      </c>
      <c r="E69" s="242">
        <v>637411</v>
      </c>
      <c r="F69" s="230">
        <f t="shared" si="3"/>
        <v>1274822</v>
      </c>
    </row>
    <row r="70" spans="1:6" ht="45.75" x14ac:dyDescent="0.25">
      <c r="A70" s="218">
        <f t="shared" si="2"/>
        <v>16</v>
      </c>
      <c r="B70" s="227" t="s">
        <v>74</v>
      </c>
      <c r="C70" s="209" t="s">
        <v>37</v>
      </c>
      <c r="D70" s="61">
        <v>2</v>
      </c>
      <c r="E70" s="242">
        <v>777600</v>
      </c>
      <c r="F70" s="230">
        <f t="shared" si="3"/>
        <v>1555200</v>
      </c>
    </row>
    <row r="71" spans="1:6" ht="15.75" x14ac:dyDescent="0.25">
      <c r="A71" s="218">
        <f t="shared" si="2"/>
        <v>17</v>
      </c>
      <c r="B71" s="210" t="s">
        <v>38</v>
      </c>
      <c r="C71" s="209" t="s">
        <v>37</v>
      </c>
      <c r="D71" s="61">
        <v>2</v>
      </c>
      <c r="E71" s="242">
        <v>540447</v>
      </c>
      <c r="F71" s="230">
        <f t="shared" si="3"/>
        <v>1080894</v>
      </c>
    </row>
    <row r="72" spans="1:6" ht="45.75" x14ac:dyDescent="0.25">
      <c r="A72" s="218">
        <f t="shared" si="2"/>
        <v>18</v>
      </c>
      <c r="B72" s="227" t="s">
        <v>39</v>
      </c>
      <c r="C72" s="209" t="s">
        <v>18</v>
      </c>
      <c r="D72" s="61">
        <v>24</v>
      </c>
      <c r="E72" s="242">
        <v>13802</v>
      </c>
      <c r="F72" s="230">
        <f t="shared" si="3"/>
        <v>331248</v>
      </c>
    </row>
    <row r="73" spans="1:6" ht="45.75" x14ac:dyDescent="0.25">
      <c r="A73" s="218">
        <f t="shared" si="2"/>
        <v>19</v>
      </c>
      <c r="B73" s="227" t="s">
        <v>75</v>
      </c>
      <c r="C73" s="209" t="s">
        <v>120</v>
      </c>
      <c r="D73" s="61">
        <v>6</v>
      </c>
      <c r="E73" s="242">
        <v>399818</v>
      </c>
      <c r="F73" s="230">
        <f t="shared" si="3"/>
        <v>2398908</v>
      </c>
    </row>
    <row r="74" spans="1:6" ht="15.75" x14ac:dyDescent="0.25">
      <c r="A74" s="218">
        <f t="shared" si="2"/>
        <v>20</v>
      </c>
      <c r="B74" s="210" t="s">
        <v>101</v>
      </c>
      <c r="C74" s="209" t="s">
        <v>120</v>
      </c>
      <c r="D74" s="61">
        <v>6</v>
      </c>
      <c r="E74" s="242">
        <v>43482</v>
      </c>
      <c r="F74" s="230">
        <f t="shared" si="3"/>
        <v>260892</v>
      </c>
    </row>
    <row r="75" spans="1:6" ht="15.75" x14ac:dyDescent="0.25">
      <c r="A75" s="218">
        <f t="shared" si="2"/>
        <v>21</v>
      </c>
      <c r="B75" s="210" t="s">
        <v>42</v>
      </c>
      <c r="C75" s="209" t="s">
        <v>120</v>
      </c>
      <c r="D75" s="61">
        <v>2</v>
      </c>
      <c r="E75" s="242">
        <v>90312</v>
      </c>
      <c r="F75" s="230">
        <f t="shared" si="3"/>
        <v>180624</v>
      </c>
    </row>
    <row r="76" spans="1:6" ht="15.75" x14ac:dyDescent="0.25">
      <c r="A76" s="218">
        <f t="shared" si="2"/>
        <v>22</v>
      </c>
      <c r="B76" s="225" t="s">
        <v>43</v>
      </c>
      <c r="C76" s="226"/>
      <c r="D76" s="20"/>
      <c r="E76" s="242">
        <v>0</v>
      </c>
      <c r="F76" s="230">
        <f t="shared" si="3"/>
        <v>0</v>
      </c>
    </row>
    <row r="77" spans="1:6" ht="15.75" x14ac:dyDescent="0.25">
      <c r="A77" s="218">
        <f t="shared" si="2"/>
        <v>23</v>
      </c>
      <c r="B77" s="210" t="s">
        <v>44</v>
      </c>
      <c r="C77" s="209" t="s">
        <v>325</v>
      </c>
      <c r="D77" s="61">
        <v>12</v>
      </c>
      <c r="E77" s="242">
        <v>120657</v>
      </c>
      <c r="F77" s="230">
        <f t="shared" si="3"/>
        <v>1447884</v>
      </c>
    </row>
    <row r="78" spans="1:6" ht="30.75" x14ac:dyDescent="0.25">
      <c r="A78" s="218">
        <f t="shared" si="2"/>
        <v>24</v>
      </c>
      <c r="B78" s="227" t="s">
        <v>45</v>
      </c>
      <c r="C78" s="209" t="s">
        <v>325</v>
      </c>
      <c r="D78" s="61">
        <v>64</v>
      </c>
      <c r="E78" s="242">
        <v>22131</v>
      </c>
      <c r="F78" s="230">
        <f t="shared" si="3"/>
        <v>1416384</v>
      </c>
    </row>
    <row r="79" spans="1:6" ht="15.75" x14ac:dyDescent="0.25">
      <c r="A79" s="218">
        <f t="shared" si="2"/>
        <v>25</v>
      </c>
      <c r="B79" s="210" t="s">
        <v>329</v>
      </c>
      <c r="C79" s="209" t="s">
        <v>325</v>
      </c>
      <c r="D79" s="61">
        <v>60</v>
      </c>
      <c r="E79" s="242">
        <v>65400</v>
      </c>
      <c r="F79" s="230">
        <f t="shared" si="3"/>
        <v>3924000</v>
      </c>
    </row>
    <row r="80" spans="1:6" ht="15.75" x14ac:dyDescent="0.25">
      <c r="A80" s="218">
        <f t="shared" si="2"/>
        <v>26</v>
      </c>
      <c r="B80" s="210" t="s">
        <v>46</v>
      </c>
      <c r="C80" s="209" t="s">
        <v>325</v>
      </c>
      <c r="D80" s="61">
        <v>24</v>
      </c>
      <c r="E80" s="242">
        <v>144847</v>
      </c>
      <c r="F80" s="230">
        <f t="shared" si="3"/>
        <v>3476328</v>
      </c>
    </row>
    <row r="81" spans="1:11" ht="15.75" x14ac:dyDescent="0.25">
      <c r="A81" s="218">
        <f t="shared" si="2"/>
        <v>27</v>
      </c>
      <c r="B81" s="225" t="s">
        <v>48</v>
      </c>
      <c r="C81" s="226"/>
      <c r="D81" s="20"/>
      <c r="E81" s="242">
        <v>0</v>
      </c>
      <c r="F81" s="230">
        <f t="shared" si="3"/>
        <v>0</v>
      </c>
    </row>
    <row r="82" spans="1:11" ht="30.75" x14ac:dyDescent="0.25">
      <c r="A82" s="218">
        <f t="shared" si="2"/>
        <v>28</v>
      </c>
      <c r="B82" s="227" t="s">
        <v>49</v>
      </c>
      <c r="C82" s="209" t="s">
        <v>325</v>
      </c>
      <c r="D82" s="61">
        <v>0.5</v>
      </c>
      <c r="E82" s="242">
        <v>605480</v>
      </c>
      <c r="F82" s="230">
        <f t="shared" si="3"/>
        <v>302740</v>
      </c>
    </row>
    <row r="83" spans="1:11" ht="30.75" x14ac:dyDescent="0.25">
      <c r="A83" s="218">
        <f t="shared" si="2"/>
        <v>29</v>
      </c>
      <c r="B83" s="227" t="s">
        <v>50</v>
      </c>
      <c r="C83" s="209" t="s">
        <v>325</v>
      </c>
      <c r="D83" s="61">
        <v>12</v>
      </c>
      <c r="E83" s="242">
        <v>822268</v>
      </c>
      <c r="F83" s="230">
        <f t="shared" si="3"/>
        <v>9867216</v>
      </c>
    </row>
    <row r="84" spans="1:11" ht="15.75" x14ac:dyDescent="0.25">
      <c r="A84" s="218">
        <f t="shared" si="2"/>
        <v>30</v>
      </c>
      <c r="B84" s="225" t="s">
        <v>51</v>
      </c>
      <c r="C84" s="226"/>
      <c r="D84" s="20"/>
      <c r="E84" s="242">
        <v>0</v>
      </c>
      <c r="F84" s="230">
        <f t="shared" si="3"/>
        <v>0</v>
      </c>
    </row>
    <row r="85" spans="1:11" ht="30" x14ac:dyDescent="0.25">
      <c r="A85" s="218">
        <f t="shared" si="2"/>
        <v>31</v>
      </c>
      <c r="B85" s="240" t="s">
        <v>52</v>
      </c>
      <c r="C85" s="209" t="s">
        <v>53</v>
      </c>
      <c r="D85" s="61">
        <v>60</v>
      </c>
      <c r="E85" s="242">
        <v>5922</v>
      </c>
      <c r="F85" s="230">
        <f t="shared" si="3"/>
        <v>355320</v>
      </c>
      <c r="K85" s="80"/>
    </row>
    <row r="86" spans="1:11" x14ac:dyDescent="0.25">
      <c r="A86" s="216"/>
      <c r="B86" s="18" t="s">
        <v>56</v>
      </c>
      <c r="C86" s="54"/>
      <c r="D86" s="130"/>
      <c r="E86" s="28"/>
      <c r="F86" s="28">
        <f>F85+F83+F84+F82+F81+F80+F79+F78+F77+F76+F75+F74+F73+F72+F71+F69+F70+F68+F67+F66+F65+F64+F62+F61+F60+F59+F58+F57+F56+F63</f>
        <v>43481402</v>
      </c>
    </row>
    <row r="87" spans="1:11" x14ac:dyDescent="0.25">
      <c r="A87" s="19"/>
      <c r="B87" s="19" t="s">
        <v>60</v>
      </c>
      <c r="C87" s="19"/>
      <c r="D87" s="19"/>
      <c r="E87" s="19"/>
      <c r="F87" s="29">
        <f>ROUND(F86/1.3495,0)</f>
        <v>32220379</v>
      </c>
    </row>
    <row r="88" spans="1:11" x14ac:dyDescent="0.25">
      <c r="A88" s="19"/>
      <c r="B88" s="19" t="s">
        <v>61</v>
      </c>
      <c r="C88" s="131">
        <v>0.24</v>
      </c>
      <c r="D88" s="19"/>
      <c r="E88" s="19"/>
      <c r="F88" s="29">
        <f>ROUND(F87*C88,0)</f>
        <v>7732891</v>
      </c>
    </row>
    <row r="89" spans="1:11" x14ac:dyDescent="0.25">
      <c r="A89" s="19"/>
      <c r="B89" s="19" t="s">
        <v>57</v>
      </c>
      <c r="C89" s="131">
        <v>0.05</v>
      </c>
      <c r="D89" s="19"/>
      <c r="E89" s="19"/>
      <c r="F89" s="29">
        <f>ROUND(F87*C89,0)</f>
        <v>1611019</v>
      </c>
    </row>
    <row r="90" spans="1:11" x14ac:dyDescent="0.25">
      <c r="A90" s="19"/>
      <c r="B90" s="19" t="s">
        <v>62</v>
      </c>
      <c r="C90" s="131">
        <v>0.05</v>
      </c>
      <c r="D90" s="19"/>
      <c r="E90" s="19"/>
      <c r="F90" s="29">
        <f>ROUND(F87*C90,0)</f>
        <v>1611019</v>
      </c>
    </row>
    <row r="91" spans="1:11" x14ac:dyDescent="0.25">
      <c r="A91" s="19"/>
      <c r="B91" s="132" t="s">
        <v>63</v>
      </c>
      <c r="C91" s="133">
        <v>0.19</v>
      </c>
      <c r="D91" s="120"/>
      <c r="E91" s="120"/>
      <c r="F91" s="35">
        <f>ROUND(F90*19%,0)</f>
        <v>306094</v>
      </c>
    </row>
    <row r="92" spans="1:11" x14ac:dyDescent="0.25">
      <c r="A92" s="19"/>
      <c r="B92" s="18" t="s">
        <v>56</v>
      </c>
      <c r="C92" s="19"/>
      <c r="D92" s="19"/>
      <c r="E92" s="19"/>
      <c r="F92" s="30">
        <f>SUM(F87:F91)</f>
        <v>43481402</v>
      </c>
    </row>
    <row r="94" spans="1:11" ht="42" customHeight="1" x14ac:dyDescent="0.25">
      <c r="A94" s="422" t="s">
        <v>849</v>
      </c>
      <c r="B94" s="422"/>
      <c r="C94" s="422"/>
      <c r="D94" s="422"/>
      <c r="E94" s="422"/>
      <c r="F94" s="422"/>
    </row>
    <row r="95" spans="1:11" x14ac:dyDescent="0.25">
      <c r="A95" s="420" t="s">
        <v>10</v>
      </c>
      <c r="B95" s="420" t="s">
        <v>0</v>
      </c>
      <c r="C95" s="420" t="s">
        <v>11</v>
      </c>
      <c r="D95" s="420" t="s">
        <v>12</v>
      </c>
      <c r="E95" s="420"/>
      <c r="F95" s="420"/>
    </row>
    <row r="96" spans="1:11" x14ac:dyDescent="0.25">
      <c r="A96" s="420"/>
      <c r="B96" s="420"/>
      <c r="C96" s="420"/>
      <c r="D96" s="54" t="s">
        <v>13</v>
      </c>
      <c r="E96" s="54" t="s">
        <v>14</v>
      </c>
      <c r="F96" s="54" t="s">
        <v>15</v>
      </c>
    </row>
    <row r="97" spans="1:6" x14ac:dyDescent="0.25">
      <c r="A97" s="218">
        <f t="shared" ref="A97:A124" si="4">A96+1</f>
        <v>1</v>
      </c>
      <c r="B97" s="18" t="s">
        <v>16</v>
      </c>
      <c r="C97" s="420"/>
      <c r="D97" s="420"/>
      <c r="E97" s="420"/>
      <c r="F97" s="20"/>
    </row>
    <row r="98" spans="1:6" ht="29.25" x14ac:dyDescent="0.25">
      <c r="A98" s="218">
        <f t="shared" si="4"/>
        <v>2</v>
      </c>
      <c r="B98" s="17" t="s">
        <v>17</v>
      </c>
      <c r="C98" s="119" t="s">
        <v>18</v>
      </c>
      <c r="D98" s="61">
        <v>84</v>
      </c>
      <c r="E98" s="243">
        <v>5230</v>
      </c>
      <c r="F98" s="243">
        <f>D98*E98</f>
        <v>439320</v>
      </c>
    </row>
    <row r="99" spans="1:6" ht="28.5" x14ac:dyDescent="0.25">
      <c r="A99" s="218">
        <f t="shared" si="4"/>
        <v>3</v>
      </c>
      <c r="B99" s="9" t="s">
        <v>21</v>
      </c>
      <c r="C99" s="119" t="s">
        <v>18</v>
      </c>
      <c r="D99" s="61">
        <v>180</v>
      </c>
      <c r="E99" s="242">
        <v>13608</v>
      </c>
      <c r="F99" s="243">
        <f t="shared" ref="F99:F124" si="5">D99*E99</f>
        <v>2449440</v>
      </c>
    </row>
    <row r="100" spans="1:6" x14ac:dyDescent="0.25">
      <c r="A100" s="218">
        <f t="shared" si="4"/>
        <v>4</v>
      </c>
      <c r="B100" s="55" t="s">
        <v>22</v>
      </c>
      <c r="C100" s="119" t="s">
        <v>23</v>
      </c>
      <c r="D100" s="61">
        <v>2</v>
      </c>
      <c r="E100" s="243">
        <v>155814</v>
      </c>
      <c r="F100" s="243">
        <f t="shared" si="5"/>
        <v>311628</v>
      </c>
    </row>
    <row r="101" spans="1:6" x14ac:dyDescent="0.25">
      <c r="A101" s="218">
        <f>A100+1</f>
        <v>5</v>
      </c>
      <c r="B101" s="18" t="s">
        <v>25</v>
      </c>
      <c r="C101" s="20"/>
      <c r="D101" s="20"/>
      <c r="E101" s="243">
        <v>0</v>
      </c>
      <c r="F101" s="243">
        <f t="shared" si="5"/>
        <v>0</v>
      </c>
    </row>
    <row r="102" spans="1:6" x14ac:dyDescent="0.25">
      <c r="A102" s="218">
        <f t="shared" si="4"/>
        <v>6</v>
      </c>
      <c r="B102" s="56" t="s">
        <v>26</v>
      </c>
      <c r="C102" s="119" t="s">
        <v>18</v>
      </c>
      <c r="D102" s="61">
        <v>30</v>
      </c>
      <c r="E102" s="243">
        <v>7652</v>
      </c>
      <c r="F102" s="243">
        <f t="shared" si="5"/>
        <v>229560</v>
      </c>
    </row>
    <row r="103" spans="1:6" ht="43.5" x14ac:dyDescent="0.25">
      <c r="A103" s="218">
        <f t="shared" si="4"/>
        <v>7</v>
      </c>
      <c r="B103" s="17" t="s">
        <v>27</v>
      </c>
      <c r="C103" s="119" t="s">
        <v>64</v>
      </c>
      <c r="D103" s="61">
        <v>4</v>
      </c>
      <c r="E103" s="243">
        <v>83560</v>
      </c>
      <c r="F103" s="243">
        <f t="shared" si="5"/>
        <v>334240</v>
      </c>
    </row>
    <row r="104" spans="1:6" x14ac:dyDescent="0.25">
      <c r="A104" s="218">
        <f t="shared" si="4"/>
        <v>8</v>
      </c>
      <c r="B104" s="18" t="s">
        <v>28</v>
      </c>
      <c r="C104" s="20"/>
      <c r="D104" s="20"/>
      <c r="E104" s="243">
        <v>0</v>
      </c>
      <c r="F104" s="243">
        <f t="shared" si="5"/>
        <v>0</v>
      </c>
    </row>
    <row r="105" spans="1:6" x14ac:dyDescent="0.25">
      <c r="A105" s="218">
        <f t="shared" si="4"/>
        <v>9</v>
      </c>
      <c r="B105" s="55" t="s">
        <v>29</v>
      </c>
      <c r="C105" s="119" t="s">
        <v>64</v>
      </c>
      <c r="D105" s="61">
        <v>54</v>
      </c>
      <c r="E105" s="243">
        <v>26395</v>
      </c>
      <c r="F105" s="243">
        <f t="shared" si="5"/>
        <v>1425330</v>
      </c>
    </row>
    <row r="106" spans="1:6" ht="29.25" x14ac:dyDescent="0.25">
      <c r="A106" s="218">
        <f t="shared" si="4"/>
        <v>10</v>
      </c>
      <c r="B106" s="17" t="s">
        <v>279</v>
      </c>
      <c r="C106" s="119" t="s">
        <v>64</v>
      </c>
      <c r="D106" s="61">
        <v>36</v>
      </c>
      <c r="E106" s="243">
        <v>32848</v>
      </c>
      <c r="F106" s="243">
        <f t="shared" si="5"/>
        <v>1182528</v>
      </c>
    </row>
    <row r="107" spans="1:6" x14ac:dyDescent="0.25">
      <c r="A107" s="218">
        <f t="shared" si="4"/>
        <v>11</v>
      </c>
      <c r="B107" s="18" t="s">
        <v>80</v>
      </c>
      <c r="C107" s="20"/>
      <c r="D107" s="20"/>
      <c r="E107" s="243">
        <v>0</v>
      </c>
      <c r="F107" s="243">
        <f t="shared" si="5"/>
        <v>0</v>
      </c>
    </row>
    <row r="108" spans="1:6" x14ac:dyDescent="0.25">
      <c r="A108" s="218">
        <f t="shared" si="4"/>
        <v>12</v>
      </c>
      <c r="B108" s="55" t="s">
        <v>284</v>
      </c>
      <c r="C108" s="119" t="s">
        <v>18</v>
      </c>
      <c r="D108" s="61">
        <v>84</v>
      </c>
      <c r="E108" s="243">
        <v>5945</v>
      </c>
      <c r="F108" s="243">
        <f t="shared" si="5"/>
        <v>499380</v>
      </c>
    </row>
    <row r="109" spans="1:6" ht="43.5" x14ac:dyDescent="0.25">
      <c r="A109" s="218">
        <f t="shared" si="4"/>
        <v>13</v>
      </c>
      <c r="B109" s="17" t="s">
        <v>285</v>
      </c>
      <c r="C109" s="119" t="s">
        <v>37</v>
      </c>
      <c r="D109" s="61">
        <v>12</v>
      </c>
      <c r="E109" s="243">
        <v>42039</v>
      </c>
      <c r="F109" s="243">
        <f t="shared" si="5"/>
        <v>504468</v>
      </c>
    </row>
    <row r="110" spans="1:6" x14ac:dyDescent="0.25">
      <c r="A110" s="218">
        <f t="shared" si="4"/>
        <v>14</v>
      </c>
      <c r="B110" s="57" t="s">
        <v>286</v>
      </c>
      <c r="C110" s="119" t="s">
        <v>37</v>
      </c>
      <c r="D110" s="61">
        <v>1</v>
      </c>
      <c r="E110" s="243">
        <v>210191</v>
      </c>
      <c r="F110" s="243">
        <f t="shared" si="5"/>
        <v>210191</v>
      </c>
    </row>
    <row r="111" spans="1:6" ht="43.5" x14ac:dyDescent="0.25">
      <c r="A111" s="218">
        <f t="shared" si="4"/>
        <v>15</v>
      </c>
      <c r="B111" s="17" t="s">
        <v>850</v>
      </c>
      <c r="C111" s="119" t="s">
        <v>37</v>
      </c>
      <c r="D111" s="61">
        <v>1</v>
      </c>
      <c r="E111" s="243">
        <v>345600</v>
      </c>
      <c r="F111" s="243">
        <f t="shared" si="5"/>
        <v>345600</v>
      </c>
    </row>
    <row r="112" spans="1:6" x14ac:dyDescent="0.25">
      <c r="A112" s="218">
        <f t="shared" si="4"/>
        <v>16</v>
      </c>
      <c r="B112" s="55" t="s">
        <v>85</v>
      </c>
      <c r="C112" s="119" t="s">
        <v>23</v>
      </c>
      <c r="D112" s="61">
        <v>2</v>
      </c>
      <c r="E112" s="243">
        <v>90583</v>
      </c>
      <c r="F112" s="243">
        <f t="shared" si="5"/>
        <v>181166</v>
      </c>
    </row>
    <row r="113" spans="1:11" x14ac:dyDescent="0.25">
      <c r="A113" s="218">
        <f t="shared" si="4"/>
        <v>17</v>
      </c>
      <c r="B113" s="18" t="s">
        <v>43</v>
      </c>
      <c r="C113" s="20"/>
      <c r="D113" s="20"/>
      <c r="E113" s="243">
        <v>0</v>
      </c>
      <c r="F113" s="243">
        <f t="shared" si="5"/>
        <v>0</v>
      </c>
    </row>
    <row r="114" spans="1:11" x14ac:dyDescent="0.25">
      <c r="A114" s="218">
        <f t="shared" si="4"/>
        <v>18</v>
      </c>
      <c r="B114" s="55" t="s">
        <v>44</v>
      </c>
      <c r="C114" s="119" t="s">
        <v>64</v>
      </c>
      <c r="D114" s="61">
        <v>8</v>
      </c>
      <c r="E114" s="243">
        <v>121019</v>
      </c>
      <c r="F114" s="243">
        <f t="shared" si="5"/>
        <v>968152</v>
      </c>
    </row>
    <row r="115" spans="1:11" ht="29.25" x14ac:dyDescent="0.25">
      <c r="A115" s="218">
        <f t="shared" si="4"/>
        <v>19</v>
      </c>
      <c r="B115" s="17" t="s">
        <v>45</v>
      </c>
      <c r="C115" s="119" t="s">
        <v>64</v>
      </c>
      <c r="D115" s="61">
        <v>35</v>
      </c>
      <c r="E115" s="243">
        <v>22197</v>
      </c>
      <c r="F115" s="243">
        <f t="shared" si="5"/>
        <v>776895</v>
      </c>
    </row>
    <row r="116" spans="1:11" x14ac:dyDescent="0.25">
      <c r="A116" s="218">
        <f t="shared" si="4"/>
        <v>20</v>
      </c>
      <c r="B116" s="55" t="s">
        <v>68</v>
      </c>
      <c r="C116" s="119" t="s">
        <v>64</v>
      </c>
      <c r="D116" s="61">
        <v>6</v>
      </c>
      <c r="E116" s="243">
        <v>85600</v>
      </c>
      <c r="F116" s="243">
        <f t="shared" si="5"/>
        <v>513600</v>
      </c>
    </row>
    <row r="117" spans="1:11" x14ac:dyDescent="0.25">
      <c r="A117" s="218">
        <f t="shared" si="4"/>
        <v>21</v>
      </c>
      <c r="B117" s="18" t="s">
        <v>48</v>
      </c>
      <c r="C117" s="119"/>
      <c r="D117" s="20"/>
      <c r="E117" s="243">
        <v>0</v>
      </c>
      <c r="F117" s="243">
        <f t="shared" si="5"/>
        <v>0</v>
      </c>
    </row>
    <row r="118" spans="1:11" ht="42.75" x14ac:dyDescent="0.25">
      <c r="A118" s="218">
        <f t="shared" si="4"/>
        <v>22</v>
      </c>
      <c r="B118" s="280" t="s">
        <v>851</v>
      </c>
      <c r="C118" s="119" t="s">
        <v>37</v>
      </c>
      <c r="D118" s="120">
        <v>3</v>
      </c>
      <c r="E118" s="243">
        <v>635000</v>
      </c>
      <c r="F118" s="243">
        <f t="shared" si="5"/>
        <v>1905000</v>
      </c>
    </row>
    <row r="119" spans="1:11" ht="29.25" x14ac:dyDescent="0.25">
      <c r="A119" s="218">
        <f t="shared" si="4"/>
        <v>23</v>
      </c>
      <c r="B119" s="17" t="s">
        <v>86</v>
      </c>
      <c r="C119" s="119" t="s">
        <v>64</v>
      </c>
      <c r="D119" s="61">
        <v>1</v>
      </c>
      <c r="E119" s="243">
        <v>607296</v>
      </c>
      <c r="F119" s="243">
        <f t="shared" si="5"/>
        <v>607296</v>
      </c>
    </row>
    <row r="120" spans="1:11" ht="29.25" x14ac:dyDescent="0.25">
      <c r="A120" s="218">
        <f t="shared" si="4"/>
        <v>24</v>
      </c>
      <c r="B120" s="17" t="s">
        <v>50</v>
      </c>
      <c r="C120" s="119" t="s">
        <v>64</v>
      </c>
      <c r="D120" s="61">
        <v>1</v>
      </c>
      <c r="E120" s="243">
        <v>824735</v>
      </c>
      <c r="F120" s="243">
        <f t="shared" si="5"/>
        <v>824735</v>
      </c>
      <c r="K120" s="80"/>
    </row>
    <row r="121" spans="1:11" x14ac:dyDescent="0.25">
      <c r="A121" s="218">
        <f t="shared" si="4"/>
        <v>25</v>
      </c>
      <c r="B121" s="18" t="s">
        <v>51</v>
      </c>
      <c r="C121" s="20"/>
      <c r="D121" s="20"/>
      <c r="E121" s="243">
        <v>0</v>
      </c>
      <c r="F121" s="243">
        <f t="shared" si="5"/>
        <v>0</v>
      </c>
    </row>
    <row r="122" spans="1:11" x14ac:dyDescent="0.25">
      <c r="A122" s="218">
        <f t="shared" si="4"/>
        <v>26</v>
      </c>
      <c r="B122" s="55" t="s">
        <v>88</v>
      </c>
      <c r="C122" s="119" t="s">
        <v>53</v>
      </c>
      <c r="D122" s="61">
        <v>120</v>
      </c>
      <c r="E122" s="243">
        <v>5922</v>
      </c>
      <c r="F122" s="243">
        <f t="shared" si="5"/>
        <v>710640</v>
      </c>
    </row>
    <row r="123" spans="1:11" ht="43.5" x14ac:dyDescent="0.25">
      <c r="A123" s="218">
        <f t="shared" si="4"/>
        <v>27</v>
      </c>
      <c r="B123" s="17" t="s">
        <v>820</v>
      </c>
      <c r="C123" s="218" t="s">
        <v>55</v>
      </c>
      <c r="D123" s="31">
        <v>1</v>
      </c>
      <c r="E123" s="59">
        <f>1673138</f>
        <v>1673138</v>
      </c>
      <c r="F123" s="58">
        <f t="shared" si="5"/>
        <v>1673138</v>
      </c>
      <c r="G123" s="281"/>
    </row>
    <row r="124" spans="1:11" ht="42.75" x14ac:dyDescent="0.25">
      <c r="A124" s="218">
        <f t="shared" si="4"/>
        <v>28</v>
      </c>
      <c r="B124" s="9" t="s">
        <v>832</v>
      </c>
      <c r="C124" s="218" t="s">
        <v>23</v>
      </c>
      <c r="D124" s="31">
        <v>1</v>
      </c>
      <c r="E124" s="58">
        <v>788768</v>
      </c>
      <c r="F124" s="58">
        <f t="shared" si="5"/>
        <v>788768</v>
      </c>
      <c r="G124" s="281"/>
    </row>
    <row r="125" spans="1:11" x14ac:dyDescent="0.25">
      <c r="A125" s="216"/>
      <c r="B125" s="18" t="s">
        <v>56</v>
      </c>
      <c r="C125" s="54"/>
      <c r="D125" s="130"/>
      <c r="E125" s="28"/>
      <c r="F125" s="28">
        <f>F122+F120+F121+F119+F118+F117+F116+F115+F114+F113+F112+F111+F110+F109+F108+F106+F107+F105+F104+F103+F102+F101+F100+F99+F98+F97+F123+F124</f>
        <v>16881075</v>
      </c>
    </row>
    <row r="126" spans="1:11" x14ac:dyDescent="0.25">
      <c r="A126" s="19"/>
      <c r="B126" s="19" t="s">
        <v>60</v>
      </c>
      <c r="C126" s="19"/>
      <c r="D126" s="19"/>
      <c r="E126" s="19"/>
      <c r="F126" s="29">
        <f>ROUND(F125/1.3495,0)</f>
        <v>12509133</v>
      </c>
    </row>
    <row r="127" spans="1:11" x14ac:dyDescent="0.25">
      <c r="A127" s="19"/>
      <c r="B127" s="19" t="s">
        <v>61</v>
      </c>
      <c r="C127" s="131">
        <v>0.24</v>
      </c>
      <c r="D127" s="19"/>
      <c r="E127" s="19"/>
      <c r="F127" s="29">
        <f>ROUND(F126*C127,0)</f>
        <v>3002192</v>
      </c>
    </row>
    <row r="128" spans="1:11" x14ac:dyDescent="0.25">
      <c r="A128" s="19"/>
      <c r="B128" s="19" t="s">
        <v>57</v>
      </c>
      <c r="C128" s="131">
        <v>0.05</v>
      </c>
      <c r="D128" s="19"/>
      <c r="E128" s="19"/>
      <c r="F128" s="29">
        <f>ROUND(F126*C128,0)</f>
        <v>625457</v>
      </c>
    </row>
    <row r="129" spans="1:12" x14ac:dyDescent="0.25">
      <c r="A129" s="19"/>
      <c r="B129" s="19" t="s">
        <v>62</v>
      </c>
      <c r="C129" s="131">
        <v>0.05</v>
      </c>
      <c r="D129" s="19"/>
      <c r="E129" s="19"/>
      <c r="F129" s="29">
        <f>ROUND(F126*C129,0)</f>
        <v>625457</v>
      </c>
    </row>
    <row r="130" spans="1:12" x14ac:dyDescent="0.25">
      <c r="A130" s="19"/>
      <c r="B130" s="132" t="s">
        <v>63</v>
      </c>
      <c r="C130" s="133">
        <v>0.19</v>
      </c>
      <c r="D130" s="120"/>
      <c r="E130" s="120"/>
      <c r="F130" s="35">
        <f>ROUND(F129*19%,0)</f>
        <v>118837</v>
      </c>
    </row>
    <row r="131" spans="1:12" x14ac:dyDescent="0.25">
      <c r="A131" s="19"/>
      <c r="B131" s="18" t="s">
        <v>56</v>
      </c>
      <c r="C131" s="19"/>
      <c r="D131" s="19"/>
      <c r="E131" s="19"/>
      <c r="F131" s="30">
        <f>SUM(F126:F130)</f>
        <v>16881076</v>
      </c>
    </row>
    <row r="133" spans="1:12" x14ac:dyDescent="0.25">
      <c r="H133" s="80"/>
      <c r="K133" s="80"/>
      <c r="L133" s="83"/>
    </row>
    <row r="134" spans="1:12" x14ac:dyDescent="0.25">
      <c r="B134" s="282" t="s">
        <v>185</v>
      </c>
      <c r="F134" s="137">
        <f>F131+F86+F43</f>
        <v>126885665.5</v>
      </c>
      <c r="H134" s="80"/>
      <c r="I134" s="184"/>
      <c r="K134" s="184"/>
      <c r="L134" s="184"/>
    </row>
    <row r="135" spans="1:12" x14ac:dyDescent="0.25">
      <c r="H135" s="83"/>
      <c r="L135" s="184"/>
    </row>
    <row r="136" spans="1:12" x14ac:dyDescent="0.25">
      <c r="B136" s="276" t="s">
        <v>8</v>
      </c>
      <c r="I136" s="184"/>
    </row>
    <row r="138" spans="1:12" x14ac:dyDescent="0.25">
      <c r="A138" s="439" t="s">
        <v>267</v>
      </c>
      <c r="B138" s="440"/>
      <c r="C138" s="440"/>
      <c r="D138" s="440"/>
      <c r="E138" s="440"/>
      <c r="F138" s="440"/>
    </row>
    <row r="139" spans="1:12" x14ac:dyDescent="0.25">
      <c r="A139" s="420" t="s">
        <v>10</v>
      </c>
      <c r="B139" s="420" t="s">
        <v>0</v>
      </c>
      <c r="C139" s="420" t="s">
        <v>11</v>
      </c>
      <c r="D139" s="420" t="s">
        <v>12</v>
      </c>
      <c r="E139" s="420"/>
      <c r="F139" s="420"/>
    </row>
    <row r="140" spans="1:12" x14ac:dyDescent="0.25">
      <c r="A140" s="420"/>
      <c r="B140" s="420"/>
      <c r="C140" s="420"/>
      <c r="D140" s="216" t="s">
        <v>13</v>
      </c>
      <c r="E140" s="216" t="s">
        <v>14</v>
      </c>
      <c r="F140" s="216" t="s">
        <v>15</v>
      </c>
    </row>
    <row r="141" spans="1:12" ht="15.75" customHeight="1" x14ac:dyDescent="0.25">
      <c r="A141" s="439" t="s">
        <v>186</v>
      </c>
      <c r="B141" s="439"/>
      <c r="C141" s="48"/>
      <c r="D141" s="48"/>
      <c r="E141" s="48"/>
      <c r="F141" s="48"/>
    </row>
    <row r="142" spans="1:12" ht="42.75" x14ac:dyDescent="0.25">
      <c r="A142" s="43"/>
      <c r="B142" s="15" t="s">
        <v>187</v>
      </c>
      <c r="C142" s="44" t="s">
        <v>188</v>
      </c>
      <c r="D142" s="45">
        <v>15</v>
      </c>
      <c r="E142" s="283">
        <v>136666</v>
      </c>
      <c r="F142" s="249">
        <f t="shared" ref="F142" si="6">ROUND(D142*E142,0)</f>
        <v>2049990</v>
      </c>
      <c r="I142" s="80"/>
      <c r="J142" s="80"/>
    </row>
    <row r="143" spans="1:12" ht="15.75" customHeight="1" x14ac:dyDescent="0.25">
      <c r="A143" s="443" t="s">
        <v>189</v>
      </c>
      <c r="B143" s="444"/>
      <c r="C143" s="49"/>
      <c r="D143" s="49"/>
      <c r="E143" s="49"/>
      <c r="F143" s="49"/>
      <c r="I143" s="80"/>
      <c r="J143" s="80"/>
    </row>
    <row r="144" spans="1:12" ht="28.5" x14ac:dyDescent="0.25">
      <c r="A144" s="43"/>
      <c r="B144" s="15" t="s">
        <v>190</v>
      </c>
      <c r="C144" s="44" t="s">
        <v>191</v>
      </c>
      <c r="D144" s="45">
        <v>15</v>
      </c>
      <c r="E144" s="283">
        <v>41904</v>
      </c>
      <c r="F144" s="249">
        <f t="shared" ref="F144:F206" si="7">ROUND(D144*E144,0)</f>
        <v>628560</v>
      </c>
      <c r="I144" s="80"/>
      <c r="J144" s="80"/>
    </row>
    <row r="145" spans="1:10" ht="42.75" x14ac:dyDescent="0.25">
      <c r="A145" s="43"/>
      <c r="B145" s="15" t="s">
        <v>192</v>
      </c>
      <c r="C145" s="44" t="s">
        <v>191</v>
      </c>
      <c r="D145" s="45">
        <v>10</v>
      </c>
      <c r="E145" s="283">
        <v>49761.000000000007</v>
      </c>
      <c r="F145" s="249">
        <f t="shared" si="7"/>
        <v>497610</v>
      </c>
      <c r="I145" s="80"/>
      <c r="J145" s="80"/>
    </row>
    <row r="146" spans="1:10" ht="28.5" x14ac:dyDescent="0.25">
      <c r="A146" s="43"/>
      <c r="B146" s="15" t="s">
        <v>193</v>
      </c>
      <c r="C146" s="44" t="s">
        <v>191</v>
      </c>
      <c r="D146" s="45">
        <v>10</v>
      </c>
      <c r="E146" s="283">
        <v>89046.000000000015</v>
      </c>
      <c r="F146" s="249">
        <f t="shared" si="7"/>
        <v>890460</v>
      </c>
      <c r="I146" s="80"/>
      <c r="J146" s="80"/>
    </row>
    <row r="147" spans="1:10" ht="71.25" x14ac:dyDescent="0.25">
      <c r="A147" s="43"/>
      <c r="B147" s="15" t="s">
        <v>194</v>
      </c>
      <c r="C147" s="44" t="s">
        <v>191</v>
      </c>
      <c r="D147" s="45">
        <v>12</v>
      </c>
      <c r="E147" s="284">
        <v>23571.000000000004</v>
      </c>
      <c r="F147" s="249">
        <f t="shared" si="7"/>
        <v>282852</v>
      </c>
      <c r="I147" s="80"/>
      <c r="J147" s="80"/>
    </row>
    <row r="148" spans="1:10" x14ac:dyDescent="0.25">
      <c r="A148" s="43"/>
      <c r="B148" s="15" t="s">
        <v>195</v>
      </c>
      <c r="C148" s="44" t="s">
        <v>191</v>
      </c>
      <c r="D148" s="45">
        <v>24</v>
      </c>
      <c r="E148" s="284">
        <v>31428.000000000004</v>
      </c>
      <c r="F148" s="249">
        <f t="shared" si="7"/>
        <v>754272</v>
      </c>
      <c r="I148" s="80"/>
      <c r="J148" s="80"/>
    </row>
    <row r="149" spans="1:10" ht="15.75" customHeight="1" x14ac:dyDescent="0.25">
      <c r="A149" s="441" t="s">
        <v>196</v>
      </c>
      <c r="B149" s="441"/>
      <c r="C149" s="46"/>
      <c r="D149" s="46"/>
      <c r="E149" s="46"/>
      <c r="F149" s="46"/>
      <c r="I149" s="80"/>
      <c r="J149" s="80"/>
    </row>
    <row r="150" spans="1:10" ht="43.5" x14ac:dyDescent="0.25">
      <c r="A150" s="47"/>
      <c r="B150" s="16" t="s">
        <v>197</v>
      </c>
      <c r="C150" s="44" t="s">
        <v>191</v>
      </c>
      <c r="D150" s="45">
        <v>1.8</v>
      </c>
      <c r="E150" s="52">
        <v>680940</v>
      </c>
      <c r="F150" s="249">
        <f t="shared" si="7"/>
        <v>1225692</v>
      </c>
      <c r="I150" s="80"/>
      <c r="J150" s="80"/>
    </row>
    <row r="151" spans="1:10" ht="43.5" x14ac:dyDescent="0.25">
      <c r="A151" s="47"/>
      <c r="B151" s="16" t="s">
        <v>198</v>
      </c>
      <c r="C151" s="44" t="s">
        <v>191</v>
      </c>
      <c r="D151" s="45">
        <v>5.88</v>
      </c>
      <c r="E151" s="52">
        <v>628560</v>
      </c>
      <c r="F151" s="249">
        <f t="shared" si="7"/>
        <v>3695933</v>
      </c>
      <c r="I151" s="80"/>
      <c r="J151" s="80"/>
    </row>
    <row r="152" spans="1:10" ht="43.5" x14ac:dyDescent="0.25">
      <c r="A152" s="47"/>
      <c r="B152" s="16" t="s">
        <v>199</v>
      </c>
      <c r="C152" s="44" t="s">
        <v>191</v>
      </c>
      <c r="D152" s="45">
        <v>25.13</v>
      </c>
      <c r="E152" s="52">
        <v>811890.00000000012</v>
      </c>
      <c r="F152" s="249">
        <f t="shared" si="7"/>
        <v>20402796</v>
      </c>
      <c r="I152" s="80"/>
      <c r="J152" s="80"/>
    </row>
    <row r="153" spans="1:10" x14ac:dyDescent="0.25">
      <c r="A153" s="441" t="s">
        <v>200</v>
      </c>
      <c r="B153" s="441"/>
      <c r="C153" s="441"/>
      <c r="D153" s="46"/>
      <c r="E153" s="46"/>
      <c r="F153" s="46" t="s">
        <v>1</v>
      </c>
      <c r="I153" s="80"/>
      <c r="J153" s="80"/>
    </row>
    <row r="154" spans="1:10" ht="43.5" x14ac:dyDescent="0.25">
      <c r="A154" s="47"/>
      <c r="B154" s="16" t="s">
        <v>201</v>
      </c>
      <c r="C154" s="44" t="s">
        <v>11</v>
      </c>
      <c r="D154" s="45">
        <v>1</v>
      </c>
      <c r="E154" s="52">
        <v>327375</v>
      </c>
      <c r="F154" s="249">
        <f t="shared" si="7"/>
        <v>327375</v>
      </c>
      <c r="I154" s="80"/>
      <c r="J154" s="80"/>
    </row>
    <row r="155" spans="1:10" ht="72" x14ac:dyDescent="0.25">
      <c r="A155" s="47"/>
      <c r="B155" s="16" t="s">
        <v>202</v>
      </c>
      <c r="C155" s="44" t="s">
        <v>203</v>
      </c>
      <c r="D155" s="45">
        <v>6</v>
      </c>
      <c r="E155" s="52">
        <v>35357</v>
      </c>
      <c r="F155" s="249">
        <f t="shared" si="7"/>
        <v>212142</v>
      </c>
      <c r="I155" s="80"/>
      <c r="J155" s="80"/>
    </row>
    <row r="156" spans="1:10" ht="72" x14ac:dyDescent="0.25">
      <c r="A156" s="47"/>
      <c r="B156" s="16" t="s">
        <v>204</v>
      </c>
      <c r="C156" s="44" t="s">
        <v>11</v>
      </c>
      <c r="D156" s="45">
        <v>3</v>
      </c>
      <c r="E156" s="52">
        <v>89046.000000000015</v>
      </c>
      <c r="F156" s="249">
        <f t="shared" si="7"/>
        <v>267138</v>
      </c>
      <c r="I156" s="80"/>
      <c r="J156" s="80"/>
    </row>
    <row r="157" spans="1:10" ht="72" x14ac:dyDescent="0.25">
      <c r="A157" s="47"/>
      <c r="B157" s="16" t="s">
        <v>205</v>
      </c>
      <c r="C157" s="44" t="s">
        <v>11</v>
      </c>
      <c r="D157" s="45">
        <v>1</v>
      </c>
      <c r="E157" s="52">
        <v>157140</v>
      </c>
      <c r="F157" s="249">
        <f t="shared" si="7"/>
        <v>157140</v>
      </c>
      <c r="I157" s="80"/>
      <c r="J157" s="80"/>
    </row>
    <row r="158" spans="1:10" ht="57.75" x14ac:dyDescent="0.25">
      <c r="A158" s="47"/>
      <c r="B158" s="16" t="s">
        <v>206</v>
      </c>
      <c r="C158" s="44" t="s">
        <v>203</v>
      </c>
      <c r="D158" s="45">
        <v>12</v>
      </c>
      <c r="E158" s="52">
        <v>35357</v>
      </c>
      <c r="F158" s="249">
        <f t="shared" si="7"/>
        <v>424284</v>
      </c>
      <c r="I158" s="80"/>
      <c r="J158" s="80"/>
    </row>
    <row r="159" spans="1:10" ht="57.75" x14ac:dyDescent="0.25">
      <c r="A159" s="47"/>
      <c r="B159" s="16" t="s">
        <v>207</v>
      </c>
      <c r="C159" s="44" t="s">
        <v>203</v>
      </c>
      <c r="D159" s="45">
        <v>3</v>
      </c>
      <c r="E159" s="52">
        <v>48452</v>
      </c>
      <c r="F159" s="249">
        <f t="shared" si="7"/>
        <v>145356</v>
      </c>
      <c r="I159" s="80"/>
      <c r="J159" s="80"/>
    </row>
    <row r="160" spans="1:10" ht="57.75" x14ac:dyDescent="0.25">
      <c r="A160" s="47"/>
      <c r="B160" s="16" t="s">
        <v>208</v>
      </c>
      <c r="C160" s="44" t="s">
        <v>203</v>
      </c>
      <c r="D160" s="45">
        <v>6</v>
      </c>
      <c r="E160" s="52">
        <v>81189</v>
      </c>
      <c r="F160" s="249">
        <f t="shared" si="7"/>
        <v>487134</v>
      </c>
      <c r="I160" s="80"/>
      <c r="J160" s="80"/>
    </row>
    <row r="161" spans="1:10" ht="43.5" x14ac:dyDescent="0.25">
      <c r="A161" s="47"/>
      <c r="B161" s="16" t="s">
        <v>209</v>
      </c>
      <c r="C161" s="44" t="s">
        <v>203</v>
      </c>
      <c r="D161" s="45">
        <v>12</v>
      </c>
      <c r="E161" s="52">
        <v>94284.000000000015</v>
      </c>
      <c r="F161" s="249">
        <f t="shared" si="7"/>
        <v>1131408</v>
      </c>
      <c r="I161" s="80"/>
      <c r="J161" s="80"/>
    </row>
    <row r="162" spans="1:10" x14ac:dyDescent="0.25">
      <c r="A162" s="441" t="s">
        <v>210</v>
      </c>
      <c r="B162" s="441"/>
      <c r="C162" s="441"/>
      <c r="D162" s="42"/>
      <c r="E162" s="42"/>
      <c r="F162" s="42" t="s">
        <v>1</v>
      </c>
      <c r="I162" s="80"/>
      <c r="J162" s="80"/>
    </row>
    <row r="163" spans="1:10" ht="72" x14ac:dyDescent="0.25">
      <c r="A163" s="47"/>
      <c r="B163" s="16" t="s">
        <v>211</v>
      </c>
      <c r="C163" s="44" t="s">
        <v>188</v>
      </c>
      <c r="D163" s="45">
        <v>57</v>
      </c>
      <c r="E163" s="52">
        <v>89700.750000000015</v>
      </c>
      <c r="F163" s="249">
        <f t="shared" si="7"/>
        <v>5112943</v>
      </c>
      <c r="I163" s="80"/>
      <c r="J163" s="80"/>
    </row>
    <row r="164" spans="1:10" ht="85.5" x14ac:dyDescent="0.25">
      <c r="A164" s="41"/>
      <c r="B164" s="15" t="s">
        <v>212</v>
      </c>
      <c r="C164" s="44" t="s">
        <v>188</v>
      </c>
      <c r="D164" s="45">
        <v>72</v>
      </c>
      <c r="E164" s="52">
        <v>117855.00000000001</v>
      </c>
      <c r="F164" s="249">
        <f t="shared" si="7"/>
        <v>8485560</v>
      </c>
      <c r="I164" s="80"/>
      <c r="J164" s="80"/>
    </row>
    <row r="165" spans="1:10" ht="43.5" x14ac:dyDescent="0.25">
      <c r="A165" s="41"/>
      <c r="B165" s="16" t="s">
        <v>213</v>
      </c>
      <c r="C165" s="44" t="s">
        <v>191</v>
      </c>
      <c r="D165" s="45">
        <v>8</v>
      </c>
      <c r="E165" s="52">
        <v>1039743.0000000001</v>
      </c>
      <c r="F165" s="249">
        <f t="shared" si="7"/>
        <v>8317944</v>
      </c>
      <c r="I165" s="80"/>
      <c r="J165" s="80"/>
    </row>
    <row r="166" spans="1:10" ht="57" x14ac:dyDescent="0.25">
      <c r="A166" s="41"/>
      <c r="B166" s="15" t="s">
        <v>214</v>
      </c>
      <c r="C166" s="44" t="s">
        <v>191</v>
      </c>
      <c r="D166" s="45">
        <v>4.4000000000000004</v>
      </c>
      <c r="E166" s="52">
        <v>1027957.5000000001</v>
      </c>
      <c r="F166" s="249">
        <f t="shared" si="7"/>
        <v>4523013</v>
      </c>
      <c r="I166" s="80"/>
      <c r="J166" s="80"/>
    </row>
    <row r="167" spans="1:10" ht="43.5" x14ac:dyDescent="0.25">
      <c r="A167" s="41"/>
      <c r="B167" s="16" t="s">
        <v>215</v>
      </c>
      <c r="C167" s="44" t="s">
        <v>191</v>
      </c>
      <c r="D167" s="45">
        <v>6.4</v>
      </c>
      <c r="E167" s="52">
        <v>1027957.5000000001</v>
      </c>
      <c r="F167" s="249">
        <f t="shared" si="7"/>
        <v>6578928</v>
      </c>
      <c r="I167" s="80"/>
      <c r="J167" s="80"/>
    </row>
    <row r="168" spans="1:10" ht="57.75" x14ac:dyDescent="0.25">
      <c r="A168" s="41"/>
      <c r="B168" s="16" t="s">
        <v>216</v>
      </c>
      <c r="C168" s="44" t="s">
        <v>191</v>
      </c>
      <c r="D168" s="45">
        <v>2.9</v>
      </c>
      <c r="E168" s="52">
        <v>979506.00000000012</v>
      </c>
      <c r="F168" s="249">
        <f t="shared" si="7"/>
        <v>2840567</v>
      </c>
      <c r="I168" s="80"/>
      <c r="J168" s="80"/>
    </row>
    <row r="169" spans="1:10" ht="43.5" x14ac:dyDescent="0.25">
      <c r="A169" s="41"/>
      <c r="B169" s="16" t="s">
        <v>217</v>
      </c>
      <c r="C169" s="44" t="s">
        <v>203</v>
      </c>
      <c r="D169" s="45">
        <v>1</v>
      </c>
      <c r="E169" s="52">
        <v>48451.500000000007</v>
      </c>
      <c r="F169" s="249">
        <f t="shared" si="7"/>
        <v>48452</v>
      </c>
      <c r="I169" s="80"/>
      <c r="J169" s="80"/>
    </row>
    <row r="170" spans="1:10" ht="57.75" x14ac:dyDescent="0.25">
      <c r="A170" s="47"/>
      <c r="B170" s="16" t="s">
        <v>218</v>
      </c>
      <c r="C170" s="44" t="s">
        <v>188</v>
      </c>
      <c r="D170" s="45">
        <f>D163+D164</f>
        <v>129</v>
      </c>
      <c r="E170" s="52">
        <v>60237.000000000007</v>
      </c>
      <c r="F170" s="249">
        <f t="shared" si="7"/>
        <v>7770573</v>
      </c>
      <c r="I170" s="80"/>
      <c r="J170" s="80"/>
    </row>
    <row r="171" spans="1:10" ht="57.75" x14ac:dyDescent="0.25">
      <c r="A171" s="47"/>
      <c r="B171" s="16" t="s">
        <v>219</v>
      </c>
      <c r="C171" s="44" t="s">
        <v>220</v>
      </c>
      <c r="D171" s="45">
        <v>616</v>
      </c>
      <c r="E171" s="52">
        <v>16368.750000000002</v>
      </c>
      <c r="F171" s="249">
        <f t="shared" si="7"/>
        <v>10083150</v>
      </c>
      <c r="I171" s="80"/>
      <c r="J171" s="80"/>
    </row>
    <row r="172" spans="1:10" ht="43.5" x14ac:dyDescent="0.25">
      <c r="A172" s="47"/>
      <c r="B172" s="16" t="s">
        <v>221</v>
      </c>
      <c r="C172" s="44" t="s">
        <v>220</v>
      </c>
      <c r="D172" s="45">
        <v>4800</v>
      </c>
      <c r="E172" s="52">
        <v>6351.0750000000007</v>
      </c>
      <c r="F172" s="249">
        <f t="shared" si="7"/>
        <v>30485160</v>
      </c>
      <c r="I172" s="80"/>
      <c r="J172" s="80"/>
    </row>
    <row r="173" spans="1:10" ht="72" x14ac:dyDescent="0.25">
      <c r="A173" s="47"/>
      <c r="B173" s="16" t="s">
        <v>222</v>
      </c>
      <c r="C173" s="44" t="s">
        <v>203</v>
      </c>
      <c r="D173" s="45">
        <v>16</v>
      </c>
      <c r="E173" s="52">
        <v>107379.00000000001</v>
      </c>
      <c r="F173" s="249">
        <f t="shared" si="7"/>
        <v>1718064</v>
      </c>
      <c r="I173" s="80"/>
      <c r="J173" s="80"/>
    </row>
    <row r="174" spans="1:10" ht="71.25" x14ac:dyDescent="0.25">
      <c r="A174" s="47"/>
      <c r="B174" s="15" t="s">
        <v>223</v>
      </c>
      <c r="C174" s="44" t="s">
        <v>203</v>
      </c>
      <c r="D174" s="45">
        <v>16</v>
      </c>
      <c r="E174" s="52">
        <v>146664</v>
      </c>
      <c r="F174" s="249">
        <f t="shared" si="7"/>
        <v>2346624</v>
      </c>
      <c r="I174" s="80"/>
      <c r="J174" s="80"/>
    </row>
    <row r="175" spans="1:10" ht="29.25" x14ac:dyDescent="0.25">
      <c r="A175" s="47"/>
      <c r="B175" s="16" t="s">
        <v>224</v>
      </c>
      <c r="C175" s="44" t="s">
        <v>203</v>
      </c>
      <c r="D175" s="45">
        <v>30</v>
      </c>
      <c r="E175" s="52">
        <v>89046.000000000015</v>
      </c>
      <c r="F175" s="249">
        <f t="shared" si="7"/>
        <v>2671380</v>
      </c>
      <c r="I175" s="80"/>
      <c r="J175" s="80"/>
    </row>
    <row r="176" spans="1:10" ht="57.75" x14ac:dyDescent="0.25">
      <c r="A176" s="47"/>
      <c r="B176" s="16" t="s">
        <v>225</v>
      </c>
      <c r="C176" s="44" t="s">
        <v>188</v>
      </c>
      <c r="D176" s="45">
        <f>D170</f>
        <v>129</v>
      </c>
      <c r="E176" s="52">
        <v>16369</v>
      </c>
      <c r="F176" s="249">
        <f t="shared" si="7"/>
        <v>2111601</v>
      </c>
      <c r="I176" s="80"/>
      <c r="J176" s="80"/>
    </row>
    <row r="177" spans="1:10" x14ac:dyDescent="0.25">
      <c r="A177" s="441" t="s">
        <v>226</v>
      </c>
      <c r="B177" s="441"/>
      <c r="C177" s="441"/>
      <c r="D177" s="42"/>
      <c r="E177" s="42"/>
      <c r="F177" s="42" t="s">
        <v>1</v>
      </c>
      <c r="I177" s="80"/>
      <c r="J177" s="80"/>
    </row>
    <row r="178" spans="1:10" ht="57.75" x14ac:dyDescent="0.25">
      <c r="A178" s="47"/>
      <c r="B178" s="16" t="s">
        <v>227</v>
      </c>
      <c r="C178" s="44" t="s">
        <v>188</v>
      </c>
      <c r="D178" s="44">
        <v>93</v>
      </c>
      <c r="E178" s="52">
        <v>62856.000000000007</v>
      </c>
      <c r="F178" s="249">
        <f t="shared" si="7"/>
        <v>5845608</v>
      </c>
      <c r="I178" s="80"/>
      <c r="J178" s="80"/>
    </row>
    <row r="179" spans="1:10" x14ac:dyDescent="0.25">
      <c r="A179" s="441" t="s">
        <v>228</v>
      </c>
      <c r="B179" s="441"/>
      <c r="C179" s="441"/>
      <c r="D179" s="42"/>
      <c r="E179" s="42"/>
      <c r="F179" s="249">
        <f t="shared" si="7"/>
        <v>0</v>
      </c>
      <c r="I179" s="80"/>
      <c r="J179" s="80"/>
    </row>
    <row r="180" spans="1:10" ht="57.75" x14ac:dyDescent="0.25">
      <c r="A180" s="47"/>
      <c r="B180" s="16" t="s">
        <v>229</v>
      </c>
      <c r="C180" s="44" t="s">
        <v>203</v>
      </c>
      <c r="D180" s="44">
        <v>15</v>
      </c>
      <c r="E180" s="52">
        <v>47142.000000000007</v>
      </c>
      <c r="F180" s="249">
        <f t="shared" si="7"/>
        <v>707130</v>
      </c>
      <c r="I180" s="80"/>
      <c r="J180" s="80"/>
    </row>
    <row r="181" spans="1:10" ht="43.5" x14ac:dyDescent="0.25">
      <c r="A181" s="47"/>
      <c r="B181" s="16" t="s">
        <v>230</v>
      </c>
      <c r="C181" s="44" t="s">
        <v>11</v>
      </c>
      <c r="D181" s="45">
        <v>1</v>
      </c>
      <c r="E181" s="52">
        <v>89046.000000000015</v>
      </c>
      <c r="F181" s="249">
        <f t="shared" si="7"/>
        <v>89046</v>
      </c>
      <c r="I181" s="80"/>
      <c r="J181" s="80"/>
    </row>
    <row r="182" spans="1:10" ht="57.75" x14ac:dyDescent="0.25">
      <c r="A182" s="47"/>
      <c r="B182" s="16" t="s">
        <v>231</v>
      </c>
      <c r="C182" s="44" t="s">
        <v>203</v>
      </c>
      <c r="D182" s="45">
        <v>4</v>
      </c>
      <c r="E182" s="52">
        <v>19643</v>
      </c>
      <c r="F182" s="249">
        <f t="shared" si="7"/>
        <v>78572</v>
      </c>
      <c r="I182" s="80"/>
      <c r="J182" s="80"/>
    </row>
    <row r="183" spans="1:10" x14ac:dyDescent="0.25">
      <c r="A183" s="441" t="s">
        <v>232</v>
      </c>
      <c r="B183" s="441"/>
      <c r="C183" s="441"/>
      <c r="D183" s="42"/>
      <c r="E183" s="50">
        <v>0</v>
      </c>
      <c r="F183" s="42" t="s">
        <v>1</v>
      </c>
      <c r="I183" s="80"/>
      <c r="J183" s="80"/>
    </row>
    <row r="184" spans="1:10" ht="42.75" x14ac:dyDescent="0.25">
      <c r="A184" s="47"/>
      <c r="B184" s="15" t="s">
        <v>233</v>
      </c>
      <c r="C184" s="44" t="s">
        <v>203</v>
      </c>
      <c r="D184" s="44">
        <v>12</v>
      </c>
      <c r="E184" s="52">
        <v>54999.000000000007</v>
      </c>
      <c r="F184" s="249">
        <f t="shared" si="7"/>
        <v>659988</v>
      </c>
      <c r="I184" s="80"/>
      <c r="J184" s="80"/>
    </row>
    <row r="185" spans="1:10" ht="28.5" x14ac:dyDescent="0.25">
      <c r="A185" s="47"/>
      <c r="B185" s="15" t="s">
        <v>234</v>
      </c>
      <c r="C185" s="44" t="s">
        <v>11</v>
      </c>
      <c r="D185" s="44">
        <v>1</v>
      </c>
      <c r="E185" s="52">
        <v>222615.00000000003</v>
      </c>
      <c r="F185" s="249">
        <f t="shared" si="7"/>
        <v>222615</v>
      </c>
      <c r="I185" s="80"/>
      <c r="J185" s="80"/>
    </row>
    <row r="186" spans="1:10" ht="86.25" x14ac:dyDescent="0.25">
      <c r="A186" s="47"/>
      <c r="B186" s="16" t="s">
        <v>235</v>
      </c>
      <c r="C186" s="44" t="s">
        <v>11</v>
      </c>
      <c r="D186" s="45">
        <v>3</v>
      </c>
      <c r="E186" s="52">
        <v>98213</v>
      </c>
      <c r="F186" s="249">
        <f t="shared" si="7"/>
        <v>294639</v>
      </c>
      <c r="I186" s="80"/>
      <c r="J186" s="80"/>
    </row>
    <row r="187" spans="1:10" ht="72" x14ac:dyDescent="0.25">
      <c r="A187" s="47"/>
      <c r="B187" s="16" t="s">
        <v>236</v>
      </c>
      <c r="C187" s="44" t="s">
        <v>11</v>
      </c>
      <c r="D187" s="45">
        <v>1</v>
      </c>
      <c r="E187" s="52">
        <v>112617.00000000001</v>
      </c>
      <c r="F187" s="249">
        <f t="shared" si="7"/>
        <v>112617</v>
      </c>
      <c r="I187" s="80"/>
      <c r="J187" s="80"/>
    </row>
    <row r="188" spans="1:10" ht="72" x14ac:dyDescent="0.25">
      <c r="A188" s="47"/>
      <c r="B188" s="16" t="s">
        <v>237</v>
      </c>
      <c r="C188" s="44" t="s">
        <v>11</v>
      </c>
      <c r="D188" s="45">
        <v>1</v>
      </c>
      <c r="E188" s="52">
        <v>103451</v>
      </c>
      <c r="F188" s="249">
        <f t="shared" si="7"/>
        <v>103451</v>
      </c>
      <c r="I188" s="80"/>
      <c r="J188" s="80"/>
    </row>
    <row r="189" spans="1:10" x14ac:dyDescent="0.25">
      <c r="A189" s="441" t="s">
        <v>238</v>
      </c>
      <c r="B189" s="441"/>
      <c r="C189" s="441"/>
      <c r="D189" s="42"/>
      <c r="E189" s="42"/>
      <c r="F189" s="42" t="s">
        <v>1</v>
      </c>
      <c r="I189" s="80"/>
      <c r="J189" s="80"/>
    </row>
    <row r="190" spans="1:10" ht="72" x14ac:dyDescent="0.25">
      <c r="A190" s="47"/>
      <c r="B190" s="16" t="s">
        <v>239</v>
      </c>
      <c r="C190" s="44" t="s">
        <v>188</v>
      </c>
      <c r="D190" s="45">
        <v>224</v>
      </c>
      <c r="E190" s="283">
        <v>43737</v>
      </c>
      <c r="F190" s="249">
        <f t="shared" si="7"/>
        <v>9797088</v>
      </c>
      <c r="I190" s="80"/>
      <c r="J190" s="80"/>
    </row>
    <row r="191" spans="1:10" x14ac:dyDescent="0.25">
      <c r="A191" s="441" t="s">
        <v>240</v>
      </c>
      <c r="B191" s="441"/>
      <c r="C191" s="441"/>
      <c r="D191" s="42"/>
      <c r="E191" s="42"/>
      <c r="F191" s="249">
        <f t="shared" si="7"/>
        <v>0</v>
      </c>
      <c r="I191" s="80"/>
      <c r="J191" s="80"/>
    </row>
    <row r="192" spans="1:10" ht="72" x14ac:dyDescent="0.25">
      <c r="A192" s="47"/>
      <c r="B192" s="16" t="s">
        <v>241</v>
      </c>
      <c r="C192" s="44" t="s">
        <v>188</v>
      </c>
      <c r="D192" s="45">
        <v>20</v>
      </c>
      <c r="E192" s="52">
        <v>58928</v>
      </c>
      <c r="F192" s="249">
        <f t="shared" si="7"/>
        <v>1178560</v>
      </c>
      <c r="I192" s="80"/>
      <c r="J192" s="80"/>
    </row>
    <row r="193" spans="1:10" x14ac:dyDescent="0.25">
      <c r="A193" s="441" t="s">
        <v>242</v>
      </c>
      <c r="B193" s="441"/>
      <c r="C193" s="441"/>
      <c r="D193" s="42"/>
      <c r="E193" s="42"/>
      <c r="F193" s="249">
        <f t="shared" si="7"/>
        <v>0</v>
      </c>
      <c r="I193" s="80"/>
      <c r="J193" s="80"/>
    </row>
    <row r="194" spans="1:10" ht="86.25" x14ac:dyDescent="0.25">
      <c r="A194" s="47"/>
      <c r="B194" s="16" t="s">
        <v>243</v>
      </c>
      <c r="C194" s="44" t="s">
        <v>188</v>
      </c>
      <c r="D194" s="45">
        <v>1</v>
      </c>
      <c r="E194" s="52">
        <v>170235</v>
      </c>
      <c r="F194" s="249">
        <f t="shared" si="7"/>
        <v>170235</v>
      </c>
      <c r="I194" s="80"/>
      <c r="J194" s="80"/>
    </row>
    <row r="195" spans="1:10" x14ac:dyDescent="0.25">
      <c r="A195" s="442" t="s">
        <v>244</v>
      </c>
      <c r="B195" s="442"/>
      <c r="C195" s="442"/>
      <c r="D195" s="40"/>
      <c r="E195" s="40"/>
      <c r="F195" s="249">
        <f t="shared" si="7"/>
        <v>0</v>
      </c>
      <c r="I195" s="80"/>
      <c r="J195" s="80"/>
    </row>
    <row r="196" spans="1:10" ht="156.75" x14ac:dyDescent="0.25">
      <c r="A196" s="47"/>
      <c r="B196" s="15" t="s">
        <v>245</v>
      </c>
      <c r="C196" s="44" t="s">
        <v>11</v>
      </c>
      <c r="D196" s="45">
        <v>1</v>
      </c>
      <c r="E196" s="52">
        <v>589275</v>
      </c>
      <c r="F196" s="249">
        <f t="shared" si="7"/>
        <v>589275</v>
      </c>
      <c r="I196" s="80"/>
      <c r="J196" s="80"/>
    </row>
    <row r="197" spans="1:10" x14ac:dyDescent="0.25">
      <c r="A197" s="441" t="s">
        <v>246</v>
      </c>
      <c r="B197" s="441"/>
      <c r="C197" s="441"/>
      <c r="D197" s="42"/>
      <c r="E197" s="42"/>
      <c r="F197" s="249">
        <f t="shared" si="7"/>
        <v>0</v>
      </c>
      <c r="I197" s="80"/>
      <c r="J197" s="80"/>
    </row>
    <row r="198" spans="1:10" ht="57.75" x14ac:dyDescent="0.25">
      <c r="A198" s="47"/>
      <c r="B198" s="16" t="s">
        <v>247</v>
      </c>
      <c r="C198" s="44" t="s">
        <v>11</v>
      </c>
      <c r="D198" s="45">
        <v>1</v>
      </c>
      <c r="E198" s="52">
        <v>379755.00000000006</v>
      </c>
      <c r="F198" s="249">
        <f t="shared" si="7"/>
        <v>379755</v>
      </c>
      <c r="I198" s="80"/>
      <c r="J198" s="80"/>
    </row>
    <row r="199" spans="1:10" ht="114" x14ac:dyDescent="0.25">
      <c r="A199" s="47"/>
      <c r="B199" s="15" t="s">
        <v>248</v>
      </c>
      <c r="C199" s="44" t="s">
        <v>11</v>
      </c>
      <c r="D199" s="45">
        <v>1</v>
      </c>
      <c r="E199" s="52">
        <v>635108</v>
      </c>
      <c r="F199" s="249">
        <f t="shared" si="7"/>
        <v>635108</v>
      </c>
      <c r="I199" s="80"/>
      <c r="J199" s="80"/>
    </row>
    <row r="200" spans="1:10" ht="57" x14ac:dyDescent="0.25">
      <c r="A200" s="47"/>
      <c r="B200" s="15" t="s">
        <v>249</v>
      </c>
      <c r="C200" s="44" t="s">
        <v>11</v>
      </c>
      <c r="D200" s="45">
        <v>1</v>
      </c>
      <c r="E200" s="52">
        <v>350946</v>
      </c>
      <c r="F200" s="249">
        <f t="shared" si="7"/>
        <v>350946</v>
      </c>
      <c r="I200" s="80"/>
      <c r="J200" s="80"/>
    </row>
    <row r="201" spans="1:10" x14ac:dyDescent="0.25">
      <c r="A201" s="442" t="s">
        <v>250</v>
      </c>
      <c r="B201" s="442"/>
      <c r="C201" s="442"/>
      <c r="D201" s="40"/>
      <c r="E201" s="40"/>
      <c r="F201" s="249">
        <f t="shared" si="7"/>
        <v>0</v>
      </c>
      <c r="I201" s="80"/>
      <c r="J201" s="80"/>
    </row>
    <row r="202" spans="1:10" ht="129" x14ac:dyDescent="0.25">
      <c r="A202" s="47"/>
      <c r="B202" s="16" t="s">
        <v>251</v>
      </c>
      <c r="C202" s="44" t="s">
        <v>188</v>
      </c>
      <c r="D202" s="45">
        <v>112</v>
      </c>
      <c r="E202" s="283">
        <v>25142.400000000001</v>
      </c>
      <c r="F202" s="249">
        <f t="shared" si="7"/>
        <v>2815949</v>
      </c>
      <c r="I202" s="80"/>
      <c r="J202" s="80"/>
    </row>
    <row r="203" spans="1:10" ht="143.25" x14ac:dyDescent="0.25">
      <c r="A203" s="47"/>
      <c r="B203" s="16" t="s">
        <v>252</v>
      </c>
      <c r="C203" s="44" t="s">
        <v>188</v>
      </c>
      <c r="D203" s="45">
        <v>112</v>
      </c>
      <c r="E203" s="283">
        <v>34047</v>
      </c>
      <c r="F203" s="249">
        <f t="shared" si="7"/>
        <v>3813264</v>
      </c>
      <c r="I203" s="80"/>
      <c r="J203" s="80"/>
    </row>
    <row r="204" spans="1:10" x14ac:dyDescent="0.25">
      <c r="A204" s="441" t="s">
        <v>253</v>
      </c>
      <c r="B204" s="441"/>
      <c r="C204" s="441"/>
      <c r="D204" s="42"/>
      <c r="E204" s="42"/>
      <c r="F204" s="249">
        <f t="shared" si="7"/>
        <v>0</v>
      </c>
      <c r="I204" s="80"/>
      <c r="J204" s="80"/>
    </row>
    <row r="205" spans="1:10" ht="171" x14ac:dyDescent="0.25">
      <c r="A205" s="47"/>
      <c r="B205" s="15" t="s">
        <v>254</v>
      </c>
      <c r="C205" s="44" t="s">
        <v>203</v>
      </c>
      <c r="D205" s="44">
        <v>14</v>
      </c>
      <c r="E205" s="52">
        <v>319387</v>
      </c>
      <c r="F205" s="249">
        <f t="shared" si="7"/>
        <v>4471418</v>
      </c>
      <c r="I205" s="80"/>
      <c r="J205" s="80"/>
    </row>
    <row r="206" spans="1:10" ht="99.75" x14ac:dyDescent="0.25">
      <c r="A206" s="47"/>
      <c r="B206" s="15" t="s">
        <v>255</v>
      </c>
      <c r="C206" s="44" t="s">
        <v>11</v>
      </c>
      <c r="D206" s="44">
        <v>1</v>
      </c>
      <c r="E206" s="52">
        <v>366660</v>
      </c>
      <c r="F206" s="249">
        <f t="shared" si="7"/>
        <v>366660</v>
      </c>
      <c r="I206" s="80"/>
      <c r="J206" s="80"/>
    </row>
    <row r="207" spans="1:10" ht="99.75" x14ac:dyDescent="0.25">
      <c r="A207" s="47"/>
      <c r="B207" s="15" t="s">
        <v>256</v>
      </c>
      <c r="C207" s="44" t="s">
        <v>203</v>
      </c>
      <c r="D207" s="44">
        <v>15</v>
      </c>
      <c r="E207" s="52">
        <v>49766</v>
      </c>
      <c r="F207" s="249">
        <f t="shared" ref="F207:F216" si="8">ROUND(D207*E207,0)</f>
        <v>746490</v>
      </c>
      <c r="I207" s="80"/>
      <c r="J207" s="80"/>
    </row>
    <row r="208" spans="1:10" x14ac:dyDescent="0.25">
      <c r="A208" s="441" t="s">
        <v>257</v>
      </c>
      <c r="B208" s="441"/>
      <c r="C208" s="441"/>
      <c r="D208" s="42"/>
      <c r="E208" s="50">
        <v>0</v>
      </c>
      <c r="F208" s="249">
        <f t="shared" si="8"/>
        <v>0</v>
      </c>
      <c r="I208" s="80"/>
      <c r="J208" s="80"/>
    </row>
    <row r="209" spans="1:10" ht="29.25" x14ac:dyDescent="0.25">
      <c r="A209" s="47"/>
      <c r="B209" s="16" t="s">
        <v>258</v>
      </c>
      <c r="C209" s="44" t="s">
        <v>259</v>
      </c>
      <c r="D209" s="45">
        <v>1</v>
      </c>
      <c r="E209" s="52">
        <v>327375</v>
      </c>
      <c r="F209" s="249">
        <f t="shared" si="8"/>
        <v>327375</v>
      </c>
      <c r="I209" s="80"/>
      <c r="J209" s="80"/>
    </row>
    <row r="210" spans="1:10" x14ac:dyDescent="0.25">
      <c r="A210" s="441" t="s">
        <v>260</v>
      </c>
      <c r="B210" s="441"/>
      <c r="C210" s="441"/>
      <c r="D210" s="46"/>
      <c r="E210" s="51">
        <v>0</v>
      </c>
      <c r="F210" s="249">
        <f t="shared" si="8"/>
        <v>0</v>
      </c>
      <c r="I210" s="80"/>
      <c r="J210" s="80"/>
    </row>
    <row r="211" spans="1:10" ht="29.25" x14ac:dyDescent="0.25">
      <c r="A211" s="47"/>
      <c r="B211" s="16" t="s">
        <v>261</v>
      </c>
      <c r="C211" s="44" t="s">
        <v>188</v>
      </c>
      <c r="D211" s="45">
        <v>32</v>
      </c>
      <c r="E211" s="52">
        <v>12047</v>
      </c>
      <c r="F211" s="249">
        <f t="shared" si="8"/>
        <v>385504</v>
      </c>
      <c r="I211" s="80"/>
      <c r="J211" s="80"/>
    </row>
    <row r="212" spans="1:10" x14ac:dyDescent="0.25">
      <c r="A212" s="47"/>
      <c r="B212" s="16" t="s">
        <v>262</v>
      </c>
      <c r="C212" s="44" t="s">
        <v>188</v>
      </c>
      <c r="D212" s="45">
        <v>49.6</v>
      </c>
      <c r="E212" s="52">
        <v>26190.000000000004</v>
      </c>
      <c r="F212" s="249">
        <f t="shared" si="8"/>
        <v>1299024</v>
      </c>
      <c r="I212" s="80"/>
      <c r="J212" s="80"/>
    </row>
    <row r="213" spans="1:10" ht="43.5" x14ac:dyDescent="0.25">
      <c r="A213" s="47"/>
      <c r="B213" s="16" t="s">
        <v>263</v>
      </c>
      <c r="C213" s="44" t="s">
        <v>259</v>
      </c>
      <c r="D213" s="45">
        <v>1</v>
      </c>
      <c r="E213" s="52">
        <v>563085</v>
      </c>
      <c r="F213" s="249">
        <f t="shared" si="8"/>
        <v>563085</v>
      </c>
      <c r="I213" s="80"/>
      <c r="J213" s="80"/>
    </row>
    <row r="214" spans="1:10" x14ac:dyDescent="0.25">
      <c r="A214" s="441" t="s">
        <v>264</v>
      </c>
      <c r="B214" s="441"/>
      <c r="C214" s="441"/>
      <c r="D214" s="46"/>
      <c r="E214" s="46"/>
      <c r="F214" s="249">
        <f t="shared" si="8"/>
        <v>0</v>
      </c>
      <c r="I214" s="80"/>
      <c r="J214" s="80"/>
    </row>
    <row r="215" spans="1:10" ht="29.25" x14ac:dyDescent="0.25">
      <c r="A215" s="47"/>
      <c r="B215" s="16" t="s">
        <v>265</v>
      </c>
      <c r="C215" s="44" t="s">
        <v>188</v>
      </c>
      <c r="D215" s="45">
        <v>84</v>
      </c>
      <c r="E215" s="283">
        <v>14404.500000000002</v>
      </c>
      <c r="F215" s="249">
        <f t="shared" si="8"/>
        <v>1209978</v>
      </c>
      <c r="I215" s="80"/>
      <c r="J215" s="80"/>
    </row>
    <row r="216" spans="1:10" ht="29.25" x14ac:dyDescent="0.25">
      <c r="A216" s="47"/>
      <c r="B216" s="16" t="s">
        <v>266</v>
      </c>
      <c r="C216" s="44" t="s">
        <v>188</v>
      </c>
      <c r="D216" s="45">
        <v>30</v>
      </c>
      <c r="E216" s="283">
        <v>23571.000000000004</v>
      </c>
      <c r="F216" s="249">
        <f t="shared" si="8"/>
        <v>707130</v>
      </c>
      <c r="I216" s="80"/>
      <c r="J216" s="80"/>
    </row>
    <row r="217" spans="1:10" x14ac:dyDescent="0.25">
      <c r="A217" s="216"/>
      <c r="B217" s="18" t="s">
        <v>56</v>
      </c>
      <c r="C217" s="54"/>
      <c r="D217" s="130"/>
      <c r="E217" s="28"/>
      <c r="F217" s="28">
        <f>ROUND((F216+F215+F214+F213+F212+F211+F210+F209+F208+F207+F206+F205+F204+F203+F202+F201+F200+F199+F198+F197+F195+F194+F193+F192+F142+F144+F145+F146+F147+F148+F150+F151+F152+F154+F155++F156+F157+F158+F160++F161+F159+F163+F164+F165+F166+F167+F168+F169+F170+F171+F172+F173+F175+F174+F176+F178+F180+F181+F182+F184+F185+F186+F187+F188+F190+F196),0)</f>
        <v>164594611</v>
      </c>
      <c r="I217" s="80"/>
      <c r="J217" s="80"/>
    </row>
    <row r="218" spans="1:10" x14ac:dyDescent="0.25">
      <c r="A218" s="19"/>
      <c r="B218" s="19" t="s">
        <v>60</v>
      </c>
      <c r="C218" s="19"/>
      <c r="D218" s="19"/>
      <c r="E218" s="19"/>
      <c r="F218" s="29">
        <f>ROUND(F217/1.3495,0)</f>
        <v>121967107</v>
      </c>
      <c r="I218" s="80"/>
      <c r="J218" s="80"/>
    </row>
    <row r="219" spans="1:10" x14ac:dyDescent="0.25">
      <c r="A219" s="19"/>
      <c r="B219" s="19" t="s">
        <v>61</v>
      </c>
      <c r="C219" s="131">
        <v>0.24</v>
      </c>
      <c r="D219" s="19"/>
      <c r="E219" s="19"/>
      <c r="F219" s="29">
        <f>ROUND(F218*C219,0)</f>
        <v>29272106</v>
      </c>
    </row>
    <row r="220" spans="1:10" x14ac:dyDescent="0.25">
      <c r="A220" s="19"/>
      <c r="B220" s="19" t="s">
        <v>57</v>
      </c>
      <c r="C220" s="131">
        <v>0.05</v>
      </c>
      <c r="D220" s="19"/>
      <c r="E220" s="19"/>
      <c r="F220" s="29">
        <f>ROUND(F218*C220,0)</f>
        <v>6098355</v>
      </c>
    </row>
    <row r="221" spans="1:10" x14ac:dyDescent="0.25">
      <c r="A221" s="19"/>
      <c r="B221" s="19" t="s">
        <v>62</v>
      </c>
      <c r="C221" s="131">
        <v>0.05</v>
      </c>
      <c r="D221" s="19"/>
      <c r="E221" s="19"/>
      <c r="F221" s="29">
        <f>ROUND(F218*C221,0)</f>
        <v>6098355</v>
      </c>
    </row>
    <row r="222" spans="1:10" x14ac:dyDescent="0.25">
      <c r="A222" s="19"/>
      <c r="B222" s="132" t="s">
        <v>63</v>
      </c>
      <c r="C222" s="133">
        <v>0.19</v>
      </c>
      <c r="D222" s="120"/>
      <c r="E222" s="120"/>
      <c r="F222" s="35">
        <f>ROUND(F221*19%,0)</f>
        <v>1158687</v>
      </c>
    </row>
    <row r="223" spans="1:10" x14ac:dyDescent="0.25">
      <c r="A223" s="19"/>
      <c r="B223" s="18" t="s">
        <v>56</v>
      </c>
      <c r="C223" s="19"/>
      <c r="D223" s="19"/>
      <c r="E223" s="19"/>
      <c r="F223" s="30">
        <f>SUM(F218:F222)</f>
        <v>164594610</v>
      </c>
    </row>
    <row r="224" spans="1:10" ht="15.75" thickBot="1" x14ac:dyDescent="0.3"/>
    <row r="225" spans="1:6" ht="36.75" customHeight="1" thickBot="1" x14ac:dyDescent="0.3">
      <c r="A225" s="445" t="s">
        <v>973</v>
      </c>
      <c r="B225" s="446"/>
      <c r="C225" s="446"/>
      <c r="D225" s="446"/>
      <c r="E225" s="446"/>
      <c r="F225" s="447"/>
    </row>
    <row r="226" spans="1:6" ht="15.75" thickBot="1" x14ac:dyDescent="0.3">
      <c r="A226" s="358"/>
      <c r="B226" s="358"/>
      <c r="C226" s="358"/>
      <c r="D226" s="359"/>
      <c r="E226" s="360"/>
      <c r="F226" s="361"/>
    </row>
    <row r="227" spans="1:6" ht="15.75" thickBot="1" x14ac:dyDescent="0.3">
      <c r="A227" s="448" t="s">
        <v>10</v>
      </c>
      <c r="B227" s="362" t="s">
        <v>0</v>
      </c>
      <c r="C227" s="448" t="s">
        <v>11</v>
      </c>
      <c r="D227" s="450" t="s">
        <v>12</v>
      </c>
      <c r="E227" s="450"/>
      <c r="F227" s="451"/>
    </row>
    <row r="228" spans="1:6" ht="15.75" thickBot="1" x14ac:dyDescent="0.3">
      <c r="A228" s="449"/>
      <c r="B228" s="363"/>
      <c r="C228" s="449"/>
      <c r="D228" s="364" t="s">
        <v>13</v>
      </c>
      <c r="E228" s="365" t="s">
        <v>14</v>
      </c>
      <c r="F228" s="366" t="s">
        <v>15</v>
      </c>
    </row>
    <row r="229" spans="1:6" x14ac:dyDescent="0.25">
      <c r="A229" s="381">
        <v>1</v>
      </c>
      <c r="B229" s="382" t="s">
        <v>16</v>
      </c>
      <c r="C229" s="369"/>
      <c r="D229" s="383"/>
      <c r="E229" s="384"/>
      <c r="F229" s="385"/>
    </row>
    <row r="230" spans="1:6" x14ac:dyDescent="0.25">
      <c r="A230" s="367" t="s">
        <v>910</v>
      </c>
      <c r="B230" s="368" t="s">
        <v>911</v>
      </c>
      <c r="C230" s="369" t="s">
        <v>20</v>
      </c>
      <c r="D230" s="109">
        <v>1126.8499999999999</v>
      </c>
      <c r="E230" s="387">
        <v>1050</v>
      </c>
      <c r="F230" s="388">
        <f t="shared" ref="F230:F273" si="9">ROUND((D230*E230),0)</f>
        <v>1183193</v>
      </c>
    </row>
    <row r="231" spans="1:6" ht="43.5" x14ac:dyDescent="0.25">
      <c r="A231" s="367">
        <v>1.2</v>
      </c>
      <c r="B231" s="368" t="s">
        <v>912</v>
      </c>
      <c r="C231" s="369" t="s">
        <v>120</v>
      </c>
      <c r="D231" s="109">
        <v>220</v>
      </c>
      <c r="E231" s="387">
        <v>11825</v>
      </c>
      <c r="F231" s="388">
        <f>ROUND((D231*E231),0)</f>
        <v>2601500</v>
      </c>
    </row>
    <row r="232" spans="1:6" x14ac:dyDescent="0.25">
      <c r="A232" s="367">
        <v>1.3</v>
      </c>
      <c r="B232" s="370" t="s">
        <v>913</v>
      </c>
      <c r="C232" s="369" t="s">
        <v>120</v>
      </c>
      <c r="D232" s="109">
        <v>30</v>
      </c>
      <c r="E232" s="387">
        <v>8382</v>
      </c>
      <c r="F232" s="388">
        <f>ROUND((D232*E232),0)</f>
        <v>251460</v>
      </c>
    </row>
    <row r="233" spans="1:6" ht="43.5" x14ac:dyDescent="0.25">
      <c r="A233" s="367">
        <v>1.4</v>
      </c>
      <c r="B233" s="368" t="s">
        <v>914</v>
      </c>
      <c r="C233" s="369" t="s">
        <v>18</v>
      </c>
      <c r="D233" s="109">
        <v>450.74</v>
      </c>
      <c r="E233" s="387">
        <v>1531</v>
      </c>
      <c r="F233" s="388">
        <f t="shared" si="9"/>
        <v>690083</v>
      </c>
    </row>
    <row r="234" spans="1:6" x14ac:dyDescent="0.25">
      <c r="A234" s="367">
        <v>1.8</v>
      </c>
      <c r="B234" s="370" t="s">
        <v>915</v>
      </c>
      <c r="C234" s="369" t="s">
        <v>916</v>
      </c>
      <c r="D234" s="109">
        <v>3</v>
      </c>
      <c r="E234" s="387">
        <v>951650</v>
      </c>
      <c r="F234" s="388">
        <f>ROUND((D234*E234),0)</f>
        <v>2854950</v>
      </c>
    </row>
    <row r="235" spans="1:6" x14ac:dyDescent="0.25">
      <c r="A235" s="367">
        <v>2</v>
      </c>
      <c r="B235" s="368" t="s">
        <v>538</v>
      </c>
      <c r="C235" s="369"/>
      <c r="D235" s="109"/>
      <c r="E235" s="387"/>
      <c r="F235" s="388"/>
    </row>
    <row r="236" spans="1:6" ht="28.5" x14ac:dyDescent="0.25">
      <c r="A236" s="367" t="s">
        <v>917</v>
      </c>
      <c r="B236" s="370" t="s">
        <v>918</v>
      </c>
      <c r="C236" s="369" t="s">
        <v>115</v>
      </c>
      <c r="D236" s="109">
        <v>967.12</v>
      </c>
      <c r="E236" s="387">
        <v>25345</v>
      </c>
      <c r="F236" s="388">
        <f t="shared" si="9"/>
        <v>24511656</v>
      </c>
    </row>
    <row r="237" spans="1:6" ht="28.5" x14ac:dyDescent="0.25">
      <c r="A237" s="367" t="s">
        <v>919</v>
      </c>
      <c r="B237" s="370" t="s">
        <v>920</v>
      </c>
      <c r="C237" s="369" t="s">
        <v>115</v>
      </c>
      <c r="D237" s="109">
        <v>310.16000000000003</v>
      </c>
      <c r="E237" s="387">
        <v>47293</v>
      </c>
      <c r="F237" s="388">
        <f t="shared" si="9"/>
        <v>14668397</v>
      </c>
    </row>
    <row r="238" spans="1:6" ht="28.5" x14ac:dyDescent="0.25">
      <c r="A238" s="367" t="s">
        <v>921</v>
      </c>
      <c r="B238" s="370" t="s">
        <v>922</v>
      </c>
      <c r="C238" s="369" t="s">
        <v>115</v>
      </c>
      <c r="D238" s="109">
        <v>55.08</v>
      </c>
      <c r="E238" s="387">
        <v>103546</v>
      </c>
      <c r="F238" s="388">
        <f>ROUND((D238*E238),0)</f>
        <v>5703314</v>
      </c>
    </row>
    <row r="239" spans="1:6" ht="28.5" x14ac:dyDescent="0.25">
      <c r="A239" s="367" t="s">
        <v>923</v>
      </c>
      <c r="B239" s="370" t="s">
        <v>924</v>
      </c>
      <c r="C239" s="369" t="s">
        <v>115</v>
      </c>
      <c r="D239" s="109">
        <v>146.69</v>
      </c>
      <c r="E239" s="387">
        <v>34446</v>
      </c>
      <c r="F239" s="388">
        <f t="shared" si="9"/>
        <v>5052884</v>
      </c>
    </row>
    <row r="240" spans="1:6" ht="29.25" x14ac:dyDescent="0.25">
      <c r="A240" s="367" t="s">
        <v>925</v>
      </c>
      <c r="B240" s="368" t="s">
        <v>926</v>
      </c>
      <c r="C240" s="369" t="s">
        <v>115</v>
      </c>
      <c r="D240" s="109">
        <v>116.74</v>
      </c>
      <c r="E240" s="387">
        <v>61700</v>
      </c>
      <c r="F240" s="388">
        <f t="shared" si="9"/>
        <v>7202858</v>
      </c>
    </row>
    <row r="241" spans="1:6" ht="43.5" x14ac:dyDescent="0.25">
      <c r="A241" s="367" t="s">
        <v>927</v>
      </c>
      <c r="B241" s="368" t="s">
        <v>928</v>
      </c>
      <c r="C241" s="369" t="s">
        <v>115</v>
      </c>
      <c r="D241" s="109">
        <v>41.27</v>
      </c>
      <c r="E241" s="387">
        <v>129321</v>
      </c>
      <c r="F241" s="388">
        <f>ROUND((D241*E241),0)</f>
        <v>5337078</v>
      </c>
    </row>
    <row r="242" spans="1:6" ht="29.25" x14ac:dyDescent="0.25">
      <c r="A242" s="367" t="s">
        <v>929</v>
      </c>
      <c r="B242" s="368" t="s">
        <v>930</v>
      </c>
      <c r="C242" s="369" t="s">
        <v>115</v>
      </c>
      <c r="D242" s="109">
        <v>76.569999999999993</v>
      </c>
      <c r="E242" s="387">
        <v>25345</v>
      </c>
      <c r="F242" s="388">
        <f t="shared" si="9"/>
        <v>1940667</v>
      </c>
    </row>
    <row r="243" spans="1:6" ht="42.75" x14ac:dyDescent="0.25">
      <c r="A243" s="367" t="s">
        <v>931</v>
      </c>
      <c r="B243" s="370" t="s">
        <v>932</v>
      </c>
      <c r="C243" s="369" t="s">
        <v>115</v>
      </c>
      <c r="D243" s="109">
        <v>11.98</v>
      </c>
      <c r="E243" s="387">
        <v>46829</v>
      </c>
      <c r="F243" s="388">
        <f>ROUND((D243*E243),0)</f>
        <v>561011</v>
      </c>
    </row>
    <row r="244" spans="1:6" ht="42.75" x14ac:dyDescent="0.25">
      <c r="A244" s="367" t="s">
        <v>933</v>
      </c>
      <c r="B244" s="370" t="s">
        <v>934</v>
      </c>
      <c r="C244" s="369" t="s">
        <v>115</v>
      </c>
      <c r="D244" s="109">
        <v>4.26</v>
      </c>
      <c r="E244" s="387">
        <v>83881</v>
      </c>
      <c r="F244" s="388">
        <f>ROUND((D244*E244),0)</f>
        <v>357333</v>
      </c>
    </row>
    <row r="245" spans="1:6" ht="29.25" x14ac:dyDescent="0.25">
      <c r="A245" s="367" t="s">
        <v>935</v>
      </c>
      <c r="B245" s="368" t="s">
        <v>936</v>
      </c>
      <c r="C245" s="369" t="s">
        <v>115</v>
      </c>
      <c r="D245" s="109">
        <v>2.15</v>
      </c>
      <c r="E245" s="387">
        <v>78020</v>
      </c>
      <c r="F245" s="388">
        <f>ROUND((D245*E245),0)</f>
        <v>167743</v>
      </c>
    </row>
    <row r="246" spans="1:6" ht="29.25" x14ac:dyDescent="0.25">
      <c r="A246" s="367" t="s">
        <v>937</v>
      </c>
      <c r="B246" s="371" t="s">
        <v>938</v>
      </c>
      <c r="C246" s="369" t="s">
        <v>115</v>
      </c>
      <c r="D246" s="109">
        <v>51.04</v>
      </c>
      <c r="E246" s="387">
        <v>47293</v>
      </c>
      <c r="F246" s="388">
        <f t="shared" si="9"/>
        <v>2413835</v>
      </c>
    </row>
    <row r="247" spans="1:6" ht="28.5" x14ac:dyDescent="0.25">
      <c r="A247" s="367" t="s">
        <v>939</v>
      </c>
      <c r="B247" s="105" t="s">
        <v>940</v>
      </c>
      <c r="C247" s="369" t="s">
        <v>115</v>
      </c>
      <c r="D247" s="109">
        <v>188.02</v>
      </c>
      <c r="E247" s="387">
        <v>26304</v>
      </c>
      <c r="F247" s="388">
        <f>ROUND((D247*E247),0)</f>
        <v>4945678</v>
      </c>
    </row>
    <row r="248" spans="1:6" ht="43.5" x14ac:dyDescent="0.25">
      <c r="A248" s="367" t="s">
        <v>941</v>
      </c>
      <c r="B248" s="371" t="s">
        <v>942</v>
      </c>
      <c r="C248" s="369" t="s">
        <v>115</v>
      </c>
      <c r="D248" s="109">
        <v>32.18</v>
      </c>
      <c r="E248" s="387">
        <v>122566</v>
      </c>
      <c r="F248" s="388">
        <f t="shared" si="9"/>
        <v>3944174</v>
      </c>
    </row>
    <row r="249" spans="1:6" ht="43.5" x14ac:dyDescent="0.25">
      <c r="A249" s="367" t="s">
        <v>943</v>
      </c>
      <c r="B249" s="371" t="s">
        <v>944</v>
      </c>
      <c r="C249" s="369" t="s">
        <v>115</v>
      </c>
      <c r="D249" s="109">
        <v>1842.05</v>
      </c>
      <c r="E249" s="387">
        <v>23547</v>
      </c>
      <c r="F249" s="388">
        <f t="shared" si="9"/>
        <v>43374751</v>
      </c>
    </row>
    <row r="250" spans="1:6" ht="29.25" x14ac:dyDescent="0.25">
      <c r="A250" s="367" t="s">
        <v>945</v>
      </c>
      <c r="B250" s="368" t="s">
        <v>946</v>
      </c>
      <c r="C250" s="369" t="s">
        <v>115</v>
      </c>
      <c r="D250" s="109">
        <v>188.39</v>
      </c>
      <c r="E250" s="387">
        <v>11062</v>
      </c>
      <c r="F250" s="388">
        <f t="shared" si="9"/>
        <v>2083970</v>
      </c>
    </row>
    <row r="251" spans="1:6" ht="28.5" x14ac:dyDescent="0.25">
      <c r="A251" s="367">
        <v>3</v>
      </c>
      <c r="B251" s="370" t="s">
        <v>947</v>
      </c>
      <c r="C251" s="369"/>
      <c r="D251" s="109"/>
      <c r="E251" s="387"/>
      <c r="F251" s="388"/>
    </row>
    <row r="252" spans="1:6" ht="57" x14ac:dyDescent="0.25">
      <c r="A252" s="372">
        <v>3.1</v>
      </c>
      <c r="B252" s="370" t="s">
        <v>948</v>
      </c>
      <c r="C252" s="369" t="s">
        <v>765</v>
      </c>
      <c r="D252" s="109">
        <v>77.099999999999994</v>
      </c>
      <c r="E252" s="387">
        <v>545755</v>
      </c>
      <c r="F252" s="388">
        <f t="shared" si="9"/>
        <v>42077711</v>
      </c>
    </row>
    <row r="253" spans="1:6" ht="57.75" x14ac:dyDescent="0.25">
      <c r="A253" s="372">
        <v>3.2</v>
      </c>
      <c r="B253" s="101" t="s">
        <v>949</v>
      </c>
      <c r="C253" s="369" t="s">
        <v>120</v>
      </c>
      <c r="D253" s="109">
        <v>18</v>
      </c>
      <c r="E253" s="387">
        <v>456768</v>
      </c>
      <c r="F253" s="388">
        <f t="shared" si="9"/>
        <v>8221824</v>
      </c>
    </row>
    <row r="254" spans="1:6" ht="43.5" x14ac:dyDescent="0.25">
      <c r="A254" s="372">
        <v>3.3</v>
      </c>
      <c r="B254" s="101" t="s">
        <v>950</v>
      </c>
      <c r="C254" s="369" t="s">
        <v>120</v>
      </c>
      <c r="D254" s="109">
        <v>18</v>
      </c>
      <c r="E254" s="387">
        <v>129063</v>
      </c>
      <c r="F254" s="388">
        <f t="shared" si="9"/>
        <v>2323134</v>
      </c>
    </row>
    <row r="255" spans="1:6" ht="42.75" x14ac:dyDescent="0.25">
      <c r="A255" s="372">
        <v>3.4</v>
      </c>
      <c r="B255" s="373" t="s">
        <v>951</v>
      </c>
      <c r="C255" s="374" t="s">
        <v>115</v>
      </c>
      <c r="D255" s="375">
        <v>7.61</v>
      </c>
      <c r="E255" s="389">
        <v>867789</v>
      </c>
      <c r="F255" s="390">
        <f>ROUND((D255*E255),0)</f>
        <v>6603874</v>
      </c>
    </row>
    <row r="256" spans="1:6" ht="72" x14ac:dyDescent="0.25">
      <c r="A256" s="372">
        <v>3.6</v>
      </c>
      <c r="B256" s="101" t="s">
        <v>952</v>
      </c>
      <c r="C256" s="369" t="s">
        <v>765</v>
      </c>
      <c r="D256" s="109">
        <v>450.74</v>
      </c>
      <c r="E256" s="387">
        <v>33544</v>
      </c>
      <c r="F256" s="388">
        <f t="shared" si="9"/>
        <v>15119623</v>
      </c>
    </row>
    <row r="257" spans="1:6" ht="71.25" x14ac:dyDescent="0.25">
      <c r="A257" s="372">
        <v>3.9</v>
      </c>
      <c r="B257" s="115" t="s">
        <v>953</v>
      </c>
      <c r="C257" s="369" t="s">
        <v>141</v>
      </c>
      <c r="D257" s="109">
        <v>479.22</v>
      </c>
      <c r="E257" s="387">
        <v>6270</v>
      </c>
      <c r="F257" s="388">
        <f t="shared" si="9"/>
        <v>3004709</v>
      </c>
    </row>
    <row r="258" spans="1:6" ht="29.25" x14ac:dyDescent="0.25">
      <c r="A258" s="376">
        <v>3.1</v>
      </c>
      <c r="B258" s="101" t="s">
        <v>954</v>
      </c>
      <c r="C258" s="369" t="s">
        <v>120</v>
      </c>
      <c r="D258" s="109">
        <v>240</v>
      </c>
      <c r="E258" s="387">
        <v>6644</v>
      </c>
      <c r="F258" s="388">
        <f t="shared" si="9"/>
        <v>1594560</v>
      </c>
    </row>
    <row r="259" spans="1:6" ht="57.75" x14ac:dyDescent="0.25">
      <c r="A259" s="376">
        <v>3.11</v>
      </c>
      <c r="B259" s="101" t="s">
        <v>955</v>
      </c>
      <c r="C259" s="369" t="s">
        <v>956</v>
      </c>
      <c r="D259" s="109">
        <v>315.18</v>
      </c>
      <c r="E259" s="387">
        <v>61686</v>
      </c>
      <c r="F259" s="388">
        <f t="shared" si="9"/>
        <v>19442193</v>
      </c>
    </row>
    <row r="260" spans="1:6" x14ac:dyDescent="0.25">
      <c r="A260" s="367">
        <v>4</v>
      </c>
      <c r="B260" s="368" t="s">
        <v>957</v>
      </c>
      <c r="C260" s="369"/>
      <c r="D260" s="109"/>
      <c r="E260" s="387"/>
      <c r="F260" s="388"/>
    </row>
    <row r="261" spans="1:6" x14ac:dyDescent="0.25">
      <c r="A261" s="367">
        <v>4.0999999999999996</v>
      </c>
      <c r="B261" s="368" t="s">
        <v>70</v>
      </c>
      <c r="C261" s="369" t="s">
        <v>20</v>
      </c>
      <c r="D261" s="109">
        <v>31.09</v>
      </c>
      <c r="E261" s="387">
        <v>6059</v>
      </c>
      <c r="F261" s="388">
        <f t="shared" si="9"/>
        <v>188374</v>
      </c>
    </row>
    <row r="262" spans="1:6" x14ac:dyDescent="0.25">
      <c r="A262" s="367">
        <v>4.2</v>
      </c>
      <c r="B262" s="368" t="s">
        <v>958</v>
      </c>
      <c r="C262" s="369" t="s">
        <v>115</v>
      </c>
      <c r="D262" s="109">
        <v>29.38</v>
      </c>
      <c r="E262" s="387">
        <v>25345</v>
      </c>
      <c r="F262" s="388">
        <f t="shared" si="9"/>
        <v>744636</v>
      </c>
    </row>
    <row r="263" spans="1:6" ht="85.5" x14ac:dyDescent="0.25">
      <c r="A263" s="367">
        <v>4.3</v>
      </c>
      <c r="B263" s="370" t="s">
        <v>959</v>
      </c>
      <c r="C263" s="369" t="s">
        <v>765</v>
      </c>
      <c r="D263" s="109">
        <v>32</v>
      </c>
      <c r="E263" s="387">
        <v>184494</v>
      </c>
      <c r="F263" s="388">
        <f t="shared" si="9"/>
        <v>5903808</v>
      </c>
    </row>
    <row r="264" spans="1:6" ht="28.5" x14ac:dyDescent="0.25">
      <c r="A264" s="367">
        <v>4.4000000000000004</v>
      </c>
      <c r="B264" s="370" t="s">
        <v>960</v>
      </c>
      <c r="C264" s="369" t="s">
        <v>20</v>
      </c>
      <c r="D264" s="109">
        <v>7.2</v>
      </c>
      <c r="E264" s="387">
        <v>25251</v>
      </c>
      <c r="F264" s="388">
        <f t="shared" si="9"/>
        <v>181807</v>
      </c>
    </row>
    <row r="265" spans="1:6" ht="29.25" x14ac:dyDescent="0.25">
      <c r="A265" s="367">
        <v>4.5</v>
      </c>
      <c r="B265" s="368" t="s">
        <v>961</v>
      </c>
      <c r="C265" s="369" t="s">
        <v>115</v>
      </c>
      <c r="D265" s="109">
        <v>3.6</v>
      </c>
      <c r="E265" s="387">
        <v>1384951</v>
      </c>
      <c r="F265" s="388">
        <f t="shared" si="9"/>
        <v>4985824</v>
      </c>
    </row>
    <row r="266" spans="1:6" ht="72" x14ac:dyDescent="0.25">
      <c r="A266" s="367">
        <v>4.5999999999999996</v>
      </c>
      <c r="B266" s="368" t="s">
        <v>953</v>
      </c>
      <c r="C266" s="369" t="s">
        <v>962</v>
      </c>
      <c r="D266" s="109">
        <v>144</v>
      </c>
      <c r="E266" s="387">
        <v>6270</v>
      </c>
      <c r="F266" s="388">
        <f t="shared" si="9"/>
        <v>902880</v>
      </c>
    </row>
    <row r="267" spans="1:6" ht="72" x14ac:dyDescent="0.25">
      <c r="A267" s="367">
        <v>4.7</v>
      </c>
      <c r="B267" s="368" t="s">
        <v>963</v>
      </c>
      <c r="C267" s="369" t="s">
        <v>962</v>
      </c>
      <c r="D267" s="377">
        <v>4000</v>
      </c>
      <c r="E267" s="387">
        <v>18062</v>
      </c>
      <c r="F267" s="388">
        <f t="shared" si="9"/>
        <v>72248000</v>
      </c>
    </row>
    <row r="268" spans="1:6" ht="71.25" x14ac:dyDescent="0.25">
      <c r="A268" s="367">
        <v>4.8</v>
      </c>
      <c r="B268" s="378" t="s">
        <v>952</v>
      </c>
      <c r="C268" s="369" t="s">
        <v>765</v>
      </c>
      <c r="D268" s="109">
        <v>31.09</v>
      </c>
      <c r="E268" s="387">
        <v>33544</v>
      </c>
      <c r="F268" s="388">
        <f t="shared" si="9"/>
        <v>1042883</v>
      </c>
    </row>
    <row r="269" spans="1:6" ht="42.75" x14ac:dyDescent="0.25">
      <c r="A269" s="367">
        <v>4.9000000000000004</v>
      </c>
      <c r="B269" s="378" t="s">
        <v>964</v>
      </c>
      <c r="C269" s="369" t="s">
        <v>765</v>
      </c>
      <c r="D269" s="109">
        <v>31.09</v>
      </c>
      <c r="E269" s="387">
        <v>100009</v>
      </c>
      <c r="F269" s="388">
        <f t="shared" si="9"/>
        <v>3109280</v>
      </c>
    </row>
    <row r="270" spans="1:6" ht="28.5" x14ac:dyDescent="0.25">
      <c r="A270" s="386">
        <v>5</v>
      </c>
      <c r="B270" s="378" t="s">
        <v>965</v>
      </c>
      <c r="C270" s="369"/>
      <c r="D270" s="109"/>
      <c r="E270" s="387"/>
      <c r="F270" s="388"/>
    </row>
    <row r="271" spans="1:6" ht="28.5" x14ac:dyDescent="0.25">
      <c r="A271" s="367">
        <v>5.0999999999999996</v>
      </c>
      <c r="B271" s="370" t="s">
        <v>966</v>
      </c>
      <c r="C271" s="369" t="s">
        <v>20</v>
      </c>
      <c r="D271" s="109">
        <v>42.52</v>
      </c>
      <c r="E271" s="387">
        <v>42347</v>
      </c>
      <c r="F271" s="388">
        <f t="shared" si="9"/>
        <v>1800594</v>
      </c>
    </row>
    <row r="272" spans="1:6" ht="28.5" x14ac:dyDescent="0.25">
      <c r="A272" s="367">
        <v>5.2</v>
      </c>
      <c r="B272" s="370" t="s">
        <v>967</v>
      </c>
      <c r="C272" s="369" t="s">
        <v>20</v>
      </c>
      <c r="D272" s="109">
        <v>398.37</v>
      </c>
      <c r="E272" s="387">
        <v>27190</v>
      </c>
      <c r="F272" s="388">
        <f>ROUND((D272*E272),0)</f>
        <v>10831680</v>
      </c>
    </row>
    <row r="273" spans="1:6" x14ac:dyDescent="0.25">
      <c r="A273" s="367">
        <v>5.4</v>
      </c>
      <c r="B273" s="111" t="s">
        <v>968</v>
      </c>
      <c r="C273" s="369" t="s">
        <v>20</v>
      </c>
      <c r="D273" s="109">
        <v>915.91</v>
      </c>
      <c r="E273" s="387">
        <v>25765</v>
      </c>
      <c r="F273" s="388">
        <f t="shared" si="9"/>
        <v>23598421</v>
      </c>
    </row>
    <row r="274" spans="1:6" ht="43.5" x14ac:dyDescent="0.25">
      <c r="A274" s="357">
        <v>6</v>
      </c>
      <c r="B274" s="17" t="s">
        <v>820</v>
      </c>
      <c r="C274" s="357" t="s">
        <v>55</v>
      </c>
      <c r="D274" s="31">
        <v>1</v>
      </c>
      <c r="E274" s="14">
        <f>1673138</f>
        <v>1673138</v>
      </c>
      <c r="F274" s="201">
        <f t="shared" ref="F274:F275" si="10">D274*E274</f>
        <v>1673138</v>
      </c>
    </row>
    <row r="275" spans="1:6" ht="42.75" x14ac:dyDescent="0.25">
      <c r="A275" s="357">
        <v>7</v>
      </c>
      <c r="B275" s="9" t="s">
        <v>832</v>
      </c>
      <c r="C275" s="357" t="s">
        <v>23</v>
      </c>
      <c r="D275" s="31">
        <v>1</v>
      </c>
      <c r="E275" s="201">
        <v>788768</v>
      </c>
      <c r="F275" s="201">
        <f t="shared" si="10"/>
        <v>788768</v>
      </c>
    </row>
    <row r="276" spans="1:6" x14ac:dyDescent="0.25">
      <c r="A276" s="356"/>
      <c r="B276" s="18" t="s">
        <v>56</v>
      </c>
      <c r="C276" s="54"/>
      <c r="D276" s="130"/>
      <c r="E276" s="203"/>
      <c r="F276" s="203">
        <f>ROUND((F275+F274+F273+F272+F271+F270+F269+F268+F267+F266+F265+F264+F263+F262+F261+F260+F259+F258+F257+F256+F254+F253+F252+F251+F230+F231+F232+F234+F233+F235+F237+F239+F240+F241+F243+F244+F245+F246+F247+F249+F248+F242+F250+F255+F238+F236),0)</f>
        <v>356234256</v>
      </c>
    </row>
    <row r="277" spans="1:6" x14ac:dyDescent="0.25">
      <c r="A277" s="19"/>
      <c r="B277" s="19" t="s">
        <v>60</v>
      </c>
      <c r="C277" s="19"/>
      <c r="D277" s="19"/>
      <c r="E277" s="207"/>
      <c r="F277" s="207">
        <f>ROUND(F276/1.3495,0)</f>
        <v>263974995</v>
      </c>
    </row>
    <row r="278" spans="1:6" x14ac:dyDescent="0.25">
      <c r="A278" s="19"/>
      <c r="B278" s="19" t="s">
        <v>61</v>
      </c>
      <c r="C278" s="131">
        <v>0.24</v>
      </c>
      <c r="D278" s="19"/>
      <c r="E278" s="207"/>
      <c r="F278" s="207">
        <f>ROUND(F277*C278,0)</f>
        <v>63353999</v>
      </c>
    </row>
    <row r="279" spans="1:6" x14ac:dyDescent="0.25">
      <c r="A279" s="19"/>
      <c r="B279" s="19" t="s">
        <v>57</v>
      </c>
      <c r="C279" s="131">
        <v>0.05</v>
      </c>
      <c r="D279" s="19"/>
      <c r="E279" s="207"/>
      <c r="F279" s="207">
        <f>ROUND(F277*C279,0)</f>
        <v>13198750</v>
      </c>
    </row>
    <row r="280" spans="1:6" x14ac:dyDescent="0.25">
      <c r="A280" s="19"/>
      <c r="B280" s="19" t="s">
        <v>62</v>
      </c>
      <c r="C280" s="131">
        <v>0.05</v>
      </c>
      <c r="D280" s="19"/>
      <c r="E280" s="207"/>
      <c r="F280" s="207">
        <f>ROUND(F277*C280,0)</f>
        <v>13198750</v>
      </c>
    </row>
    <row r="281" spans="1:6" x14ac:dyDescent="0.25">
      <c r="A281" s="19"/>
      <c r="B281" s="132" t="s">
        <v>63</v>
      </c>
      <c r="C281" s="133">
        <v>0.19</v>
      </c>
      <c r="D281" s="120"/>
      <c r="E281" s="14"/>
      <c r="F281" s="14">
        <f>ROUND(F280*19%,0)</f>
        <v>2507763</v>
      </c>
    </row>
    <row r="282" spans="1:6" x14ac:dyDescent="0.25">
      <c r="A282" s="19"/>
      <c r="B282" s="18" t="s">
        <v>56</v>
      </c>
      <c r="C282" s="19"/>
      <c r="D282" s="19"/>
      <c r="E282" s="207"/>
      <c r="F282" s="391">
        <f>SUM(F277:F281)</f>
        <v>356234257</v>
      </c>
    </row>
    <row r="283" spans="1:6" x14ac:dyDescent="0.25">
      <c r="E283" s="80"/>
      <c r="F283" s="80"/>
    </row>
    <row r="285" spans="1:6" x14ac:dyDescent="0.25">
      <c r="B285" s="282" t="s">
        <v>268</v>
      </c>
      <c r="F285" s="137">
        <f>F223+F282</f>
        <v>520828867</v>
      </c>
    </row>
    <row r="287" spans="1:6" x14ac:dyDescent="0.25">
      <c r="B287" s="276" t="s">
        <v>4</v>
      </c>
    </row>
    <row r="290" spans="1:11" ht="36" customHeight="1" x14ac:dyDescent="0.25">
      <c r="A290" s="431" t="s">
        <v>269</v>
      </c>
      <c r="B290" s="432"/>
      <c r="C290" s="432"/>
      <c r="D290" s="432"/>
      <c r="E290" s="432"/>
      <c r="F290" s="433"/>
    </row>
    <row r="291" spans="1:11" x14ac:dyDescent="0.25">
      <c r="A291" s="420" t="s">
        <v>10</v>
      </c>
      <c r="B291" s="420" t="s">
        <v>0</v>
      </c>
      <c r="C291" s="420" t="s">
        <v>11</v>
      </c>
      <c r="D291" s="420" t="s">
        <v>12</v>
      </c>
      <c r="E291" s="420"/>
      <c r="F291" s="420"/>
    </row>
    <row r="292" spans="1:11" x14ac:dyDescent="0.25">
      <c r="A292" s="420"/>
      <c r="B292" s="420"/>
      <c r="C292" s="420"/>
      <c r="D292" s="54" t="s">
        <v>13</v>
      </c>
      <c r="E292" s="54" t="s">
        <v>14</v>
      </c>
      <c r="F292" s="54" t="s">
        <v>15</v>
      </c>
    </row>
    <row r="293" spans="1:11" x14ac:dyDescent="0.25">
      <c r="A293" s="218">
        <f t="shared" ref="A293:A322" si="11">A292+1</f>
        <v>1</v>
      </c>
      <c r="B293" s="18" t="s">
        <v>16</v>
      </c>
      <c r="C293" s="420"/>
      <c r="D293" s="420"/>
      <c r="E293" s="420"/>
      <c r="F293" s="20"/>
    </row>
    <row r="294" spans="1:11" ht="29.25" x14ac:dyDescent="0.25">
      <c r="A294" s="218">
        <f t="shared" si="11"/>
        <v>2</v>
      </c>
      <c r="B294" s="17" t="s">
        <v>17</v>
      </c>
      <c r="C294" s="218" t="s">
        <v>18</v>
      </c>
      <c r="D294" s="31">
        <v>186</v>
      </c>
      <c r="E294" s="59">
        <v>5214</v>
      </c>
      <c r="F294" s="249">
        <f t="shared" ref="F294:F322" si="12">ROUND(D294*E294,0)</f>
        <v>969804</v>
      </c>
    </row>
    <row r="295" spans="1:11" ht="29.25" x14ac:dyDescent="0.25">
      <c r="A295" s="218">
        <f>A294+1</f>
        <v>3</v>
      </c>
      <c r="B295" s="17" t="s">
        <v>21</v>
      </c>
      <c r="C295" s="218" t="s">
        <v>18</v>
      </c>
      <c r="D295" s="31">
        <v>384</v>
      </c>
      <c r="E295" s="59">
        <v>13608</v>
      </c>
      <c r="F295" s="249">
        <f t="shared" si="12"/>
        <v>5225472</v>
      </c>
    </row>
    <row r="296" spans="1:11" x14ac:dyDescent="0.25">
      <c r="A296" s="218">
        <f t="shared" si="11"/>
        <v>4</v>
      </c>
      <c r="B296" s="55" t="s">
        <v>22</v>
      </c>
      <c r="C296" s="218" t="s">
        <v>23</v>
      </c>
      <c r="D296" s="31">
        <v>6</v>
      </c>
      <c r="E296" s="59">
        <v>155349</v>
      </c>
      <c r="F296" s="249">
        <f t="shared" si="12"/>
        <v>932094</v>
      </c>
      <c r="K296" s="80"/>
    </row>
    <row r="297" spans="1:11" x14ac:dyDescent="0.25">
      <c r="A297" s="218">
        <f t="shared" si="11"/>
        <v>5</v>
      </c>
      <c r="B297" s="18" t="s">
        <v>25</v>
      </c>
      <c r="C297" s="20"/>
      <c r="D297" s="20"/>
      <c r="E297" s="59">
        <v>0</v>
      </c>
      <c r="F297" s="249">
        <f t="shared" si="12"/>
        <v>0</v>
      </c>
    </row>
    <row r="298" spans="1:11" x14ac:dyDescent="0.25">
      <c r="A298" s="218">
        <f t="shared" si="11"/>
        <v>6</v>
      </c>
      <c r="B298" s="56" t="s">
        <v>26</v>
      </c>
      <c r="C298" s="218" t="s">
        <v>18</v>
      </c>
      <c r="D298" s="31">
        <v>24</v>
      </c>
      <c r="E298" s="59">
        <v>7630</v>
      </c>
      <c r="F298" s="249">
        <f t="shared" si="12"/>
        <v>183120</v>
      </c>
    </row>
    <row r="299" spans="1:11" ht="43.5" x14ac:dyDescent="0.25">
      <c r="A299" s="218">
        <f t="shared" si="11"/>
        <v>7</v>
      </c>
      <c r="B299" s="17" t="s">
        <v>27</v>
      </c>
      <c r="C299" s="218" t="s">
        <v>64</v>
      </c>
      <c r="D299" s="31">
        <v>2</v>
      </c>
      <c r="E299" s="59">
        <v>83312</v>
      </c>
      <c r="F299" s="249">
        <f t="shared" si="12"/>
        <v>166624</v>
      </c>
    </row>
    <row r="300" spans="1:11" x14ac:dyDescent="0.25">
      <c r="A300" s="218">
        <f t="shared" si="11"/>
        <v>8</v>
      </c>
      <c r="B300" s="18" t="s">
        <v>28</v>
      </c>
      <c r="C300" s="20"/>
      <c r="D300" s="20"/>
      <c r="E300" s="59">
        <v>0</v>
      </c>
      <c r="F300" s="249">
        <f t="shared" si="12"/>
        <v>0</v>
      </c>
    </row>
    <row r="301" spans="1:11" x14ac:dyDescent="0.25">
      <c r="A301" s="218">
        <f t="shared" si="11"/>
        <v>9</v>
      </c>
      <c r="B301" s="55" t="s">
        <v>29</v>
      </c>
      <c r="C301" s="218" t="s">
        <v>64</v>
      </c>
      <c r="D301" s="31">
        <v>516</v>
      </c>
      <c r="E301" s="59">
        <v>26317</v>
      </c>
      <c r="F301" s="249">
        <f t="shared" si="12"/>
        <v>13579572</v>
      </c>
    </row>
    <row r="302" spans="1:11" x14ac:dyDescent="0.25">
      <c r="A302" s="218">
        <f t="shared" si="11"/>
        <v>10</v>
      </c>
      <c r="B302" s="55" t="s">
        <v>30</v>
      </c>
      <c r="C302" s="218" t="s">
        <v>64</v>
      </c>
      <c r="D302" s="31">
        <v>167</v>
      </c>
      <c r="E302" s="59">
        <v>30682</v>
      </c>
      <c r="F302" s="249">
        <f t="shared" si="12"/>
        <v>5123894</v>
      </c>
    </row>
    <row r="303" spans="1:11" x14ac:dyDescent="0.25">
      <c r="A303" s="218">
        <f t="shared" si="11"/>
        <v>11</v>
      </c>
      <c r="B303" s="55" t="s">
        <v>31</v>
      </c>
      <c r="C303" s="218" t="s">
        <v>18</v>
      </c>
      <c r="D303" s="31">
        <v>186</v>
      </c>
      <c r="E303" s="59">
        <v>31128</v>
      </c>
      <c r="F303" s="249">
        <f t="shared" si="12"/>
        <v>5789808</v>
      </c>
    </row>
    <row r="304" spans="1:11" ht="29.25" x14ac:dyDescent="0.25">
      <c r="A304" s="218">
        <f t="shared" si="11"/>
        <v>12</v>
      </c>
      <c r="B304" s="17" t="s">
        <v>32</v>
      </c>
      <c r="C304" s="218" t="s">
        <v>64</v>
      </c>
      <c r="D304" s="31">
        <v>118</v>
      </c>
      <c r="E304" s="59">
        <v>32749</v>
      </c>
      <c r="F304" s="249">
        <f t="shared" si="12"/>
        <v>3864382</v>
      </c>
    </row>
    <row r="305" spans="1:6" ht="30" x14ac:dyDescent="0.25">
      <c r="A305" s="218">
        <f t="shared" si="11"/>
        <v>13</v>
      </c>
      <c r="B305" s="188" t="s">
        <v>33</v>
      </c>
      <c r="C305" s="20"/>
      <c r="D305" s="20"/>
      <c r="E305" s="59">
        <v>0</v>
      </c>
      <c r="F305" s="249">
        <f t="shared" si="12"/>
        <v>0</v>
      </c>
    </row>
    <row r="306" spans="1:6" ht="29.25" x14ac:dyDescent="0.25">
      <c r="A306" s="218">
        <f t="shared" si="11"/>
        <v>14</v>
      </c>
      <c r="B306" s="17" t="s">
        <v>66</v>
      </c>
      <c r="C306" s="218" t="s">
        <v>18</v>
      </c>
      <c r="D306" s="31">
        <v>186</v>
      </c>
      <c r="E306" s="59">
        <v>23781</v>
      </c>
      <c r="F306" s="249">
        <f t="shared" si="12"/>
        <v>4423266</v>
      </c>
    </row>
    <row r="307" spans="1:6" ht="57" x14ac:dyDescent="0.25">
      <c r="A307" s="218">
        <f t="shared" si="11"/>
        <v>15</v>
      </c>
      <c r="B307" s="57" t="s">
        <v>35</v>
      </c>
      <c r="C307" s="218" t="s">
        <v>18</v>
      </c>
      <c r="D307" s="31">
        <v>6</v>
      </c>
      <c r="E307" s="59">
        <v>637411</v>
      </c>
      <c r="F307" s="249">
        <f t="shared" si="12"/>
        <v>3824466</v>
      </c>
    </row>
    <row r="308" spans="1:6" ht="43.5" x14ac:dyDescent="0.25">
      <c r="A308" s="218">
        <f t="shared" si="11"/>
        <v>16</v>
      </c>
      <c r="B308" s="17" t="s">
        <v>74</v>
      </c>
      <c r="C308" s="218" t="s">
        <v>37</v>
      </c>
      <c r="D308" s="31">
        <v>5</v>
      </c>
      <c r="E308" s="59">
        <v>777600</v>
      </c>
      <c r="F308" s="249">
        <f t="shared" si="12"/>
        <v>3888000</v>
      </c>
    </row>
    <row r="309" spans="1:6" x14ac:dyDescent="0.25">
      <c r="A309" s="218">
        <f t="shared" si="11"/>
        <v>17</v>
      </c>
      <c r="B309" s="55" t="s">
        <v>38</v>
      </c>
      <c r="C309" s="218" t="s">
        <v>37</v>
      </c>
      <c r="D309" s="31">
        <v>5</v>
      </c>
      <c r="E309" s="59">
        <v>540447</v>
      </c>
      <c r="F309" s="249">
        <f t="shared" si="12"/>
        <v>2702235</v>
      </c>
    </row>
    <row r="310" spans="1:6" ht="29.25" x14ac:dyDescent="0.25">
      <c r="A310" s="218">
        <f t="shared" si="11"/>
        <v>18</v>
      </c>
      <c r="B310" s="17" t="s">
        <v>39</v>
      </c>
      <c r="C310" s="218" t="s">
        <v>18</v>
      </c>
      <c r="D310" s="31">
        <v>183</v>
      </c>
      <c r="E310" s="59">
        <v>13802</v>
      </c>
      <c r="F310" s="249">
        <f t="shared" si="12"/>
        <v>2525766</v>
      </c>
    </row>
    <row r="311" spans="1:6" ht="43.5" x14ac:dyDescent="0.25">
      <c r="A311" s="218">
        <f t="shared" si="11"/>
        <v>19</v>
      </c>
      <c r="B311" s="17" t="s">
        <v>40</v>
      </c>
      <c r="C311" s="218" t="s">
        <v>23</v>
      </c>
      <c r="D311" s="31">
        <v>30</v>
      </c>
      <c r="E311" s="59">
        <v>399818</v>
      </c>
      <c r="F311" s="249">
        <f t="shared" si="12"/>
        <v>11994540</v>
      </c>
    </row>
    <row r="312" spans="1:6" x14ac:dyDescent="0.25">
      <c r="A312" s="218">
        <f t="shared" si="11"/>
        <v>20</v>
      </c>
      <c r="B312" s="55" t="s">
        <v>67</v>
      </c>
      <c r="C312" s="218" t="s">
        <v>23</v>
      </c>
      <c r="D312" s="31">
        <v>30</v>
      </c>
      <c r="E312" s="59">
        <v>43482</v>
      </c>
      <c r="F312" s="249">
        <f t="shared" si="12"/>
        <v>1304460</v>
      </c>
    </row>
    <row r="313" spans="1:6" x14ac:dyDescent="0.25">
      <c r="A313" s="218">
        <f t="shared" si="11"/>
        <v>21</v>
      </c>
      <c r="B313" s="55" t="s">
        <v>42</v>
      </c>
      <c r="C313" s="218" t="s">
        <v>23</v>
      </c>
      <c r="D313" s="31">
        <v>6</v>
      </c>
      <c r="E313" s="59">
        <v>90312</v>
      </c>
      <c r="F313" s="249">
        <f t="shared" si="12"/>
        <v>541872</v>
      </c>
    </row>
    <row r="314" spans="1:6" x14ac:dyDescent="0.25">
      <c r="A314" s="218">
        <f t="shared" si="11"/>
        <v>22</v>
      </c>
      <c r="B314" s="18" t="s">
        <v>43</v>
      </c>
      <c r="C314" s="20"/>
      <c r="D314" s="20"/>
      <c r="E314" s="59">
        <v>0</v>
      </c>
      <c r="F314" s="249">
        <f t="shared" si="12"/>
        <v>0</v>
      </c>
    </row>
    <row r="315" spans="1:6" x14ac:dyDescent="0.25">
      <c r="A315" s="218">
        <f t="shared" si="11"/>
        <v>23</v>
      </c>
      <c r="B315" s="55" t="s">
        <v>44</v>
      </c>
      <c r="C315" s="218" t="s">
        <v>64</v>
      </c>
      <c r="D315" s="31">
        <v>32</v>
      </c>
      <c r="E315" s="59">
        <v>120657</v>
      </c>
      <c r="F315" s="249">
        <f t="shared" si="12"/>
        <v>3861024</v>
      </c>
    </row>
    <row r="316" spans="1:6" ht="29.25" x14ac:dyDescent="0.25">
      <c r="A316" s="218">
        <f t="shared" si="11"/>
        <v>24</v>
      </c>
      <c r="B316" s="17" t="s">
        <v>45</v>
      </c>
      <c r="C316" s="218" t="s">
        <v>64</v>
      </c>
      <c r="D316" s="31">
        <v>567</v>
      </c>
      <c r="E316" s="59">
        <v>22131</v>
      </c>
      <c r="F316" s="249">
        <f t="shared" si="12"/>
        <v>12548277</v>
      </c>
    </row>
    <row r="317" spans="1:6" x14ac:dyDescent="0.25">
      <c r="A317" s="218">
        <f t="shared" si="11"/>
        <v>25</v>
      </c>
      <c r="B317" s="55" t="s">
        <v>68</v>
      </c>
      <c r="C317" s="218" t="s">
        <v>64</v>
      </c>
      <c r="D317" s="31">
        <v>30</v>
      </c>
      <c r="E317" s="59">
        <v>85000</v>
      </c>
      <c r="F317" s="249">
        <f t="shared" si="12"/>
        <v>2550000</v>
      </c>
    </row>
    <row r="318" spans="1:6" x14ac:dyDescent="0.25">
      <c r="A318" s="218">
        <f t="shared" si="11"/>
        <v>26</v>
      </c>
      <c r="B318" s="18" t="s">
        <v>48</v>
      </c>
      <c r="C318" s="20"/>
      <c r="D318" s="20"/>
      <c r="E318" s="59">
        <v>0</v>
      </c>
      <c r="F318" s="249">
        <f t="shared" si="12"/>
        <v>0</v>
      </c>
    </row>
    <row r="319" spans="1:6" ht="29.25" x14ac:dyDescent="0.25">
      <c r="A319" s="218">
        <f t="shared" si="11"/>
        <v>27</v>
      </c>
      <c r="B319" s="17" t="s">
        <v>49</v>
      </c>
      <c r="C319" s="218" t="s">
        <v>64</v>
      </c>
      <c r="D319" s="31">
        <v>1</v>
      </c>
      <c r="E319" s="59">
        <v>605480</v>
      </c>
      <c r="F319" s="249">
        <f t="shared" si="12"/>
        <v>605480</v>
      </c>
    </row>
    <row r="320" spans="1:6" ht="29.25" x14ac:dyDescent="0.25">
      <c r="A320" s="218">
        <f t="shared" si="11"/>
        <v>28</v>
      </c>
      <c r="B320" s="17" t="s">
        <v>50</v>
      </c>
      <c r="C320" s="218" t="s">
        <v>64</v>
      </c>
      <c r="D320" s="31">
        <v>2</v>
      </c>
      <c r="E320" s="59">
        <v>822268</v>
      </c>
      <c r="F320" s="249">
        <f t="shared" si="12"/>
        <v>1644536</v>
      </c>
    </row>
    <row r="321" spans="1:11" x14ac:dyDescent="0.25">
      <c r="A321" s="218">
        <f t="shared" si="11"/>
        <v>29</v>
      </c>
      <c r="B321" s="18" t="s">
        <v>51</v>
      </c>
      <c r="C321" s="20"/>
      <c r="D321" s="20"/>
      <c r="E321" s="242">
        <v>0</v>
      </c>
      <c r="F321" s="249">
        <f t="shared" si="12"/>
        <v>0</v>
      </c>
    </row>
    <row r="322" spans="1:11" x14ac:dyDescent="0.25">
      <c r="A322" s="218">
        <f t="shared" si="11"/>
        <v>30</v>
      </c>
      <c r="B322" s="55" t="s">
        <v>52</v>
      </c>
      <c r="C322" s="218" t="s">
        <v>53</v>
      </c>
      <c r="D322" s="31">
        <v>90</v>
      </c>
      <c r="E322" s="59">
        <v>5922</v>
      </c>
      <c r="F322" s="249">
        <f t="shared" si="12"/>
        <v>532980</v>
      </c>
      <c r="K322" s="80"/>
    </row>
    <row r="323" spans="1:11" x14ac:dyDescent="0.25">
      <c r="A323" s="216"/>
      <c r="B323" s="18" t="s">
        <v>56</v>
      </c>
      <c r="C323" s="54"/>
      <c r="D323" s="130"/>
      <c r="E323" s="28"/>
      <c r="F323" s="28">
        <f>ROUND((F322+F321+F320+F319+F318+F317+F316+F315+F314+F313+F312+F311+F310+F309+F308+F307+F306+F305+F304+F303+F302+F300+F299+F298+F297+F295+F296+F294+F301),0)</f>
        <v>88781672</v>
      </c>
    </row>
    <row r="324" spans="1:11" x14ac:dyDescent="0.25">
      <c r="A324" s="19"/>
      <c r="B324" s="19" t="s">
        <v>60</v>
      </c>
      <c r="C324" s="19"/>
      <c r="D324" s="19"/>
      <c r="E324" s="19"/>
      <c r="F324" s="29">
        <f>ROUND(F323/1.3495,0)</f>
        <v>65788568</v>
      </c>
    </row>
    <row r="325" spans="1:11" x14ac:dyDescent="0.25">
      <c r="A325" s="19"/>
      <c r="B325" s="19" t="s">
        <v>61</v>
      </c>
      <c r="C325" s="131">
        <v>0.24</v>
      </c>
      <c r="D325" s="19"/>
      <c r="E325" s="19"/>
      <c r="F325" s="29">
        <f>ROUND(F324*C325,0)</f>
        <v>15789256</v>
      </c>
    </row>
    <row r="326" spans="1:11" x14ac:dyDescent="0.25">
      <c r="A326" s="19"/>
      <c r="B326" s="19" t="s">
        <v>57</v>
      </c>
      <c r="C326" s="131">
        <v>0.05</v>
      </c>
      <c r="D326" s="19"/>
      <c r="E326" s="19"/>
      <c r="F326" s="29">
        <f>ROUND(F324*C326,0)</f>
        <v>3289428</v>
      </c>
    </row>
    <row r="327" spans="1:11" x14ac:dyDescent="0.25">
      <c r="A327" s="19"/>
      <c r="B327" s="19" t="s">
        <v>62</v>
      </c>
      <c r="C327" s="131">
        <v>0.05</v>
      </c>
      <c r="D327" s="19"/>
      <c r="E327" s="19"/>
      <c r="F327" s="29">
        <f>ROUND(F324*C327,0)</f>
        <v>3289428</v>
      </c>
    </row>
    <row r="328" spans="1:11" x14ac:dyDescent="0.25">
      <c r="A328" s="19"/>
      <c r="B328" s="132" t="s">
        <v>63</v>
      </c>
      <c r="C328" s="133">
        <v>0.19</v>
      </c>
      <c r="D328" s="120"/>
      <c r="E328" s="120"/>
      <c r="F328" s="35">
        <f>ROUND(F327*19%,0)</f>
        <v>624991</v>
      </c>
    </row>
    <row r="329" spans="1:11" x14ac:dyDescent="0.25">
      <c r="A329" s="19"/>
      <c r="B329" s="18" t="s">
        <v>56</v>
      </c>
      <c r="C329" s="19"/>
      <c r="D329" s="19"/>
      <c r="E329" s="19"/>
      <c r="F329" s="30">
        <f>SUM(F324:F328)</f>
        <v>88781671</v>
      </c>
    </row>
    <row r="332" spans="1:11" x14ac:dyDescent="0.25">
      <c r="A332" s="422" t="s">
        <v>270</v>
      </c>
      <c r="B332" s="422"/>
      <c r="C332" s="422"/>
      <c r="D332" s="422"/>
      <c r="E332" s="422"/>
      <c r="F332" s="422"/>
    </row>
    <row r="333" spans="1:11" x14ac:dyDescent="0.25">
      <c r="A333" s="420" t="s">
        <v>10</v>
      </c>
      <c r="B333" s="420" t="s">
        <v>0</v>
      </c>
      <c r="C333" s="420" t="s">
        <v>11</v>
      </c>
      <c r="D333" s="420" t="s">
        <v>12</v>
      </c>
      <c r="E333" s="420"/>
      <c r="F333" s="420"/>
    </row>
    <row r="334" spans="1:11" x14ac:dyDescent="0.25">
      <c r="A334" s="420"/>
      <c r="B334" s="420"/>
      <c r="C334" s="420"/>
      <c r="D334" s="54" t="s">
        <v>13</v>
      </c>
      <c r="E334" s="54" t="s">
        <v>14</v>
      </c>
      <c r="F334" s="54" t="s">
        <v>15</v>
      </c>
    </row>
    <row r="335" spans="1:11" x14ac:dyDescent="0.25">
      <c r="A335" s="218">
        <f t="shared" ref="A335:A360" si="13">A334+1</f>
        <v>1</v>
      </c>
      <c r="B335" s="18" t="s">
        <v>16</v>
      </c>
      <c r="C335" s="420"/>
      <c r="D335" s="420"/>
      <c r="E335" s="420"/>
      <c r="F335" s="20"/>
    </row>
    <row r="336" spans="1:11" x14ac:dyDescent="0.25">
      <c r="A336" s="218">
        <f t="shared" si="13"/>
        <v>2</v>
      </c>
      <c r="B336" s="55" t="s">
        <v>70</v>
      </c>
      <c r="C336" s="119" t="s">
        <v>18</v>
      </c>
      <c r="D336" s="61">
        <v>42</v>
      </c>
      <c r="E336" s="242">
        <v>5214</v>
      </c>
      <c r="F336" s="249">
        <f t="shared" ref="F336:F360" si="14">ROUND(D336*E336,0)</f>
        <v>218988</v>
      </c>
    </row>
    <row r="337" spans="1:11" ht="29.25" x14ac:dyDescent="0.25">
      <c r="A337" s="218">
        <f t="shared" si="13"/>
        <v>3</v>
      </c>
      <c r="B337" s="17" t="s">
        <v>21</v>
      </c>
      <c r="C337" s="119" t="s">
        <v>18</v>
      </c>
      <c r="D337" s="61">
        <v>96</v>
      </c>
      <c r="E337" s="242">
        <v>13608</v>
      </c>
      <c r="F337" s="249">
        <f t="shared" si="14"/>
        <v>1306368</v>
      </c>
    </row>
    <row r="338" spans="1:11" x14ac:dyDescent="0.25">
      <c r="A338" s="218">
        <f t="shared" si="13"/>
        <v>4</v>
      </c>
      <c r="B338" s="55" t="s">
        <v>22</v>
      </c>
      <c r="C338" s="119" t="s">
        <v>23</v>
      </c>
      <c r="D338" s="61">
        <v>2</v>
      </c>
      <c r="E338" s="242">
        <v>155349</v>
      </c>
      <c r="F338" s="249">
        <f t="shared" si="14"/>
        <v>310698</v>
      </c>
      <c r="K338" s="80"/>
    </row>
    <row r="339" spans="1:11" x14ac:dyDescent="0.25">
      <c r="A339" s="218">
        <f t="shared" si="13"/>
        <v>5</v>
      </c>
      <c r="B339" s="18" t="s">
        <v>25</v>
      </c>
      <c r="C339" s="20"/>
      <c r="D339" s="20"/>
      <c r="E339" s="242">
        <v>0</v>
      </c>
      <c r="F339" s="249">
        <f t="shared" si="14"/>
        <v>0</v>
      </c>
    </row>
    <row r="340" spans="1:11" x14ac:dyDescent="0.25">
      <c r="A340" s="218">
        <f t="shared" si="13"/>
        <v>6</v>
      </c>
      <c r="B340" s="56" t="s">
        <v>26</v>
      </c>
      <c r="C340" s="119" t="s">
        <v>18</v>
      </c>
      <c r="D340" s="61">
        <v>40</v>
      </c>
      <c r="E340" s="242">
        <v>7630</v>
      </c>
      <c r="F340" s="249">
        <f t="shared" si="14"/>
        <v>305200</v>
      </c>
    </row>
    <row r="341" spans="1:11" ht="43.5" x14ac:dyDescent="0.25">
      <c r="A341" s="218">
        <f t="shared" si="13"/>
        <v>7</v>
      </c>
      <c r="B341" s="17" t="s">
        <v>27</v>
      </c>
      <c r="C341" s="119" t="s">
        <v>64</v>
      </c>
      <c r="D341" s="61">
        <v>6</v>
      </c>
      <c r="E341" s="242">
        <v>83312</v>
      </c>
      <c r="F341" s="249">
        <f t="shared" si="14"/>
        <v>499872</v>
      </c>
    </row>
    <row r="342" spans="1:11" x14ac:dyDescent="0.25">
      <c r="A342" s="218">
        <f t="shared" si="13"/>
        <v>8</v>
      </c>
      <c r="B342" s="18" t="s">
        <v>28</v>
      </c>
      <c r="C342" s="20"/>
      <c r="D342" s="20"/>
      <c r="E342" s="242">
        <v>0</v>
      </c>
      <c r="F342" s="249">
        <f t="shared" si="14"/>
        <v>0</v>
      </c>
    </row>
    <row r="343" spans="1:11" x14ac:dyDescent="0.25">
      <c r="A343" s="218">
        <f t="shared" si="13"/>
        <v>9</v>
      </c>
      <c r="B343" s="55" t="s">
        <v>29</v>
      </c>
      <c r="C343" s="119" t="s">
        <v>64</v>
      </c>
      <c r="D343" s="61">
        <v>68</v>
      </c>
      <c r="E343" s="242">
        <v>26317</v>
      </c>
      <c r="F343" s="249">
        <f t="shared" si="14"/>
        <v>1789556</v>
      </c>
    </row>
    <row r="344" spans="1:11" x14ac:dyDescent="0.25">
      <c r="A344" s="218">
        <f t="shared" si="13"/>
        <v>10</v>
      </c>
      <c r="B344" s="55" t="s">
        <v>31</v>
      </c>
      <c r="C344" s="119" t="s">
        <v>18</v>
      </c>
      <c r="D344" s="61">
        <v>10</v>
      </c>
      <c r="E344" s="242">
        <v>31128</v>
      </c>
      <c r="F344" s="249">
        <f t="shared" si="14"/>
        <v>311280</v>
      </c>
    </row>
    <row r="345" spans="1:11" ht="29.25" x14ac:dyDescent="0.25">
      <c r="A345" s="218">
        <f t="shared" si="13"/>
        <v>11</v>
      </c>
      <c r="B345" s="17" t="s">
        <v>32</v>
      </c>
      <c r="C345" s="119" t="s">
        <v>64</v>
      </c>
      <c r="D345" s="61">
        <v>24</v>
      </c>
      <c r="E345" s="242">
        <v>32749</v>
      </c>
      <c r="F345" s="249">
        <f t="shared" si="14"/>
        <v>785976</v>
      </c>
    </row>
    <row r="346" spans="1:11" ht="30" x14ac:dyDescent="0.25">
      <c r="A346" s="218">
        <f t="shared" si="13"/>
        <v>12</v>
      </c>
      <c r="B346" s="188" t="s">
        <v>33</v>
      </c>
      <c r="C346" s="20"/>
      <c r="D346" s="20"/>
      <c r="E346" s="242">
        <v>0</v>
      </c>
      <c r="F346" s="249">
        <f t="shared" si="14"/>
        <v>0</v>
      </c>
    </row>
    <row r="347" spans="1:11" ht="29.25" x14ac:dyDescent="0.25">
      <c r="A347" s="218">
        <f t="shared" si="13"/>
        <v>13</v>
      </c>
      <c r="B347" s="17" t="s">
        <v>66</v>
      </c>
      <c r="C347" s="119" t="s">
        <v>18</v>
      </c>
      <c r="D347" s="61">
        <v>42</v>
      </c>
      <c r="E347" s="242">
        <v>23781</v>
      </c>
      <c r="F347" s="249">
        <f t="shared" si="14"/>
        <v>998802</v>
      </c>
    </row>
    <row r="348" spans="1:11" ht="57" x14ac:dyDescent="0.25">
      <c r="A348" s="218">
        <f t="shared" si="13"/>
        <v>14</v>
      </c>
      <c r="B348" s="57" t="s">
        <v>35</v>
      </c>
      <c r="C348" s="119" t="s">
        <v>18</v>
      </c>
      <c r="D348" s="61">
        <v>6</v>
      </c>
      <c r="E348" s="242">
        <v>637411</v>
      </c>
      <c r="F348" s="249">
        <f t="shared" si="14"/>
        <v>3824466</v>
      </c>
    </row>
    <row r="349" spans="1:11" ht="43.5" x14ac:dyDescent="0.25">
      <c r="A349" s="218">
        <f t="shared" si="13"/>
        <v>15</v>
      </c>
      <c r="B349" s="17" t="s">
        <v>74</v>
      </c>
      <c r="C349" s="119" t="s">
        <v>37</v>
      </c>
      <c r="D349" s="61">
        <v>3</v>
      </c>
      <c r="E349" s="242">
        <v>777600</v>
      </c>
      <c r="F349" s="249">
        <f t="shared" si="14"/>
        <v>2332800</v>
      </c>
    </row>
    <row r="350" spans="1:11" x14ac:dyDescent="0.25">
      <c r="A350" s="218">
        <f t="shared" si="13"/>
        <v>16</v>
      </c>
      <c r="B350" s="55" t="s">
        <v>38</v>
      </c>
      <c r="C350" s="119" t="s">
        <v>37</v>
      </c>
      <c r="D350" s="61">
        <v>4</v>
      </c>
      <c r="E350" s="242">
        <v>540447</v>
      </c>
      <c r="F350" s="249">
        <f t="shared" si="14"/>
        <v>2161788</v>
      </c>
    </row>
    <row r="351" spans="1:11" x14ac:dyDescent="0.25">
      <c r="A351" s="218">
        <f t="shared" si="13"/>
        <v>17</v>
      </c>
      <c r="B351" s="55" t="s">
        <v>42</v>
      </c>
      <c r="C351" s="119" t="s">
        <v>23</v>
      </c>
      <c r="D351" s="61">
        <v>2</v>
      </c>
      <c r="E351" s="242">
        <v>90312</v>
      </c>
      <c r="F351" s="249">
        <f t="shared" si="14"/>
        <v>180624</v>
      </c>
    </row>
    <row r="352" spans="1:11" x14ac:dyDescent="0.25">
      <c r="A352" s="218">
        <f t="shared" si="13"/>
        <v>18</v>
      </c>
      <c r="B352" s="18" t="s">
        <v>43</v>
      </c>
      <c r="C352" s="20"/>
      <c r="D352" s="20"/>
      <c r="E352" s="242">
        <v>0</v>
      </c>
      <c r="F352" s="249">
        <f t="shared" si="14"/>
        <v>0</v>
      </c>
    </row>
    <row r="353" spans="1:11" x14ac:dyDescent="0.25">
      <c r="A353" s="218">
        <f t="shared" si="13"/>
        <v>19</v>
      </c>
      <c r="B353" s="55" t="s">
        <v>44</v>
      </c>
      <c r="C353" s="119" t="s">
        <v>64</v>
      </c>
      <c r="D353" s="61">
        <v>5</v>
      </c>
      <c r="E353" s="242">
        <v>120657</v>
      </c>
      <c r="F353" s="249">
        <f t="shared" si="14"/>
        <v>603285</v>
      </c>
    </row>
    <row r="354" spans="1:11" ht="29.25" x14ac:dyDescent="0.25">
      <c r="A354" s="218">
        <f t="shared" si="13"/>
        <v>20</v>
      </c>
      <c r="B354" s="17" t="s">
        <v>45</v>
      </c>
      <c r="C354" s="119" t="s">
        <v>64</v>
      </c>
      <c r="D354" s="61">
        <v>52</v>
      </c>
      <c r="E354" s="242">
        <v>22131</v>
      </c>
      <c r="F354" s="249">
        <f t="shared" si="14"/>
        <v>1150812</v>
      </c>
    </row>
    <row r="355" spans="1:11" x14ac:dyDescent="0.25">
      <c r="A355" s="218">
        <f t="shared" si="13"/>
        <v>21</v>
      </c>
      <c r="B355" s="55" t="s">
        <v>46</v>
      </c>
      <c r="C355" s="119" t="s">
        <v>64</v>
      </c>
      <c r="D355" s="61">
        <v>6</v>
      </c>
      <c r="E355" s="242">
        <v>144847</v>
      </c>
      <c r="F355" s="249">
        <f t="shared" si="14"/>
        <v>869082</v>
      </c>
    </row>
    <row r="356" spans="1:11" x14ac:dyDescent="0.25">
      <c r="A356" s="218">
        <f t="shared" si="13"/>
        <v>22</v>
      </c>
      <c r="B356" s="18" t="s">
        <v>48</v>
      </c>
      <c r="C356" s="20"/>
      <c r="D356" s="20"/>
      <c r="E356" s="242">
        <v>0</v>
      </c>
      <c r="F356" s="249">
        <f t="shared" si="14"/>
        <v>0</v>
      </c>
    </row>
    <row r="357" spans="1:11" ht="29.25" x14ac:dyDescent="0.25">
      <c r="A357" s="218">
        <f t="shared" si="13"/>
        <v>23</v>
      </c>
      <c r="B357" s="17" t="s">
        <v>49</v>
      </c>
      <c r="C357" s="119" t="s">
        <v>64</v>
      </c>
      <c r="D357" s="61">
        <v>0.5</v>
      </c>
      <c r="E357" s="242">
        <v>605480</v>
      </c>
      <c r="F357" s="249">
        <f t="shared" si="14"/>
        <v>302740</v>
      </c>
    </row>
    <row r="358" spans="1:11" ht="29.25" x14ac:dyDescent="0.25">
      <c r="A358" s="218">
        <f t="shared" si="13"/>
        <v>24</v>
      </c>
      <c r="B358" s="17" t="s">
        <v>884</v>
      </c>
      <c r="C358" s="119" t="s">
        <v>64</v>
      </c>
      <c r="D358" s="61">
        <v>4</v>
      </c>
      <c r="E358" s="242">
        <v>822268</v>
      </c>
      <c r="F358" s="249">
        <f t="shared" si="14"/>
        <v>3289072</v>
      </c>
    </row>
    <row r="359" spans="1:11" x14ac:dyDescent="0.25">
      <c r="A359" s="218">
        <f t="shared" si="13"/>
        <v>25</v>
      </c>
      <c r="B359" s="18" t="s">
        <v>51</v>
      </c>
      <c r="C359" s="20"/>
      <c r="D359" s="20"/>
      <c r="E359" s="242">
        <v>0</v>
      </c>
      <c r="F359" s="249">
        <f t="shared" si="14"/>
        <v>0</v>
      </c>
    </row>
    <row r="360" spans="1:11" x14ac:dyDescent="0.25">
      <c r="A360" s="218">
        <f t="shared" si="13"/>
        <v>26</v>
      </c>
      <c r="B360" s="55" t="s">
        <v>52</v>
      </c>
      <c r="C360" s="119" t="s">
        <v>53</v>
      </c>
      <c r="D360" s="61">
        <v>60</v>
      </c>
      <c r="E360" s="242">
        <v>5922</v>
      </c>
      <c r="F360" s="249">
        <f t="shared" si="14"/>
        <v>355320</v>
      </c>
      <c r="K360" s="80"/>
    </row>
    <row r="361" spans="1:11" x14ac:dyDescent="0.25">
      <c r="A361" s="216"/>
      <c r="B361" s="18" t="s">
        <v>56</v>
      </c>
      <c r="C361" s="54"/>
      <c r="D361" s="130"/>
      <c r="E361" s="28"/>
      <c r="F361" s="28">
        <f>ROUND((F360+F359+F358+F357+F356+F355+F354+F353+F352+F351+F350+F349+F348+F347+F346+F345+F344+F343+F342+F341+F340+F338+F337+F336+F335),0)</f>
        <v>21596729</v>
      </c>
    </row>
    <row r="362" spans="1:11" x14ac:dyDescent="0.25">
      <c r="A362" s="19"/>
      <c r="B362" s="19" t="s">
        <v>60</v>
      </c>
      <c r="C362" s="19"/>
      <c r="D362" s="19"/>
      <c r="E362" s="19"/>
      <c r="F362" s="29">
        <f>ROUND(F361/1.3495,0)</f>
        <v>16003504</v>
      </c>
    </row>
    <row r="363" spans="1:11" x14ac:dyDescent="0.25">
      <c r="A363" s="19"/>
      <c r="B363" s="19" t="s">
        <v>61</v>
      </c>
      <c r="C363" s="131">
        <v>0.24</v>
      </c>
      <c r="D363" s="19"/>
      <c r="E363" s="19"/>
      <c r="F363" s="29">
        <f>ROUND(F362*C363,0)</f>
        <v>3840841</v>
      </c>
    </row>
    <row r="364" spans="1:11" x14ac:dyDescent="0.25">
      <c r="A364" s="19"/>
      <c r="B364" s="19" t="s">
        <v>57</v>
      </c>
      <c r="C364" s="131">
        <v>0.05</v>
      </c>
      <c r="D364" s="19"/>
      <c r="E364" s="19"/>
      <c r="F364" s="29">
        <f>ROUND(F362*C364,0)</f>
        <v>800175</v>
      </c>
    </row>
    <row r="365" spans="1:11" x14ac:dyDescent="0.25">
      <c r="A365" s="19"/>
      <c r="B365" s="19" t="s">
        <v>62</v>
      </c>
      <c r="C365" s="131">
        <v>0.05</v>
      </c>
      <c r="D365" s="19"/>
      <c r="E365" s="19"/>
      <c r="F365" s="29">
        <f>ROUND(F362*C365,0)</f>
        <v>800175</v>
      </c>
    </row>
    <row r="366" spans="1:11" x14ac:dyDescent="0.25">
      <c r="A366" s="19"/>
      <c r="B366" s="132" t="s">
        <v>63</v>
      </c>
      <c r="C366" s="133">
        <v>0.19</v>
      </c>
      <c r="D366" s="120"/>
      <c r="E366" s="120"/>
      <c r="F366" s="35">
        <f>ROUND(F365*19%,0)</f>
        <v>152033</v>
      </c>
    </row>
    <row r="367" spans="1:11" x14ac:dyDescent="0.25">
      <c r="A367" s="19"/>
      <c r="B367" s="18" t="s">
        <v>56</v>
      </c>
      <c r="C367" s="19"/>
      <c r="D367" s="19"/>
      <c r="E367" s="19"/>
      <c r="F367" s="30">
        <f>SUM(F362:F366)</f>
        <v>21596728</v>
      </c>
    </row>
    <row r="369" spans="1:11" x14ac:dyDescent="0.25">
      <c r="A369" s="422" t="s">
        <v>852</v>
      </c>
      <c r="B369" s="422"/>
      <c r="C369" s="422"/>
      <c r="D369" s="422"/>
      <c r="E369" s="422"/>
      <c r="F369" s="422"/>
    </row>
    <row r="370" spans="1:11" x14ac:dyDescent="0.25">
      <c r="A370" s="420" t="s">
        <v>10</v>
      </c>
      <c r="B370" s="420" t="s">
        <v>0</v>
      </c>
      <c r="C370" s="420" t="s">
        <v>11</v>
      </c>
      <c r="D370" s="420" t="s">
        <v>12</v>
      </c>
      <c r="E370" s="420"/>
      <c r="F370" s="420"/>
    </row>
    <row r="371" spans="1:11" x14ac:dyDescent="0.25">
      <c r="A371" s="420"/>
      <c r="B371" s="420"/>
      <c r="C371" s="420"/>
      <c r="D371" s="54" t="s">
        <v>13</v>
      </c>
      <c r="E371" s="54" t="s">
        <v>14</v>
      </c>
      <c r="F371" s="54" t="s">
        <v>15</v>
      </c>
    </row>
    <row r="372" spans="1:11" x14ac:dyDescent="0.25">
      <c r="A372" s="218">
        <f t="shared" ref="A372:A401" si="15">A371+1</f>
        <v>1</v>
      </c>
      <c r="B372" s="18" t="s">
        <v>16</v>
      </c>
      <c r="C372" s="420"/>
      <c r="D372" s="420"/>
      <c r="E372" s="420"/>
      <c r="F372" s="20"/>
    </row>
    <row r="373" spans="1:11" x14ac:dyDescent="0.25">
      <c r="A373" s="218">
        <f t="shared" si="15"/>
        <v>2</v>
      </c>
      <c r="B373" s="55" t="s">
        <v>73</v>
      </c>
      <c r="C373" s="218" t="s">
        <v>18</v>
      </c>
      <c r="D373" s="31">
        <v>96</v>
      </c>
      <c r="E373" s="59">
        <v>5214</v>
      </c>
      <c r="F373" s="58">
        <f>D373*E373</f>
        <v>500544</v>
      </c>
    </row>
    <row r="374" spans="1:11" ht="29.25" x14ac:dyDescent="0.25">
      <c r="A374" s="218">
        <f t="shared" si="15"/>
        <v>3</v>
      </c>
      <c r="B374" s="17" t="s">
        <v>19</v>
      </c>
      <c r="C374" s="218" t="s">
        <v>20</v>
      </c>
      <c r="D374" s="31">
        <v>576</v>
      </c>
      <c r="E374" s="59">
        <v>9047</v>
      </c>
      <c r="F374" s="58">
        <f t="shared" ref="F374:F401" si="16">D374*E374</f>
        <v>5211072</v>
      </c>
    </row>
    <row r="375" spans="1:11" ht="29.25" x14ac:dyDescent="0.25">
      <c r="A375" s="218">
        <f t="shared" si="15"/>
        <v>4</v>
      </c>
      <c r="B375" s="17" t="s">
        <v>21</v>
      </c>
      <c r="C375" s="218" t="s">
        <v>18</v>
      </c>
      <c r="D375" s="31">
        <v>204</v>
      </c>
      <c r="E375" s="59">
        <v>13608</v>
      </c>
      <c r="F375" s="58">
        <f t="shared" si="16"/>
        <v>2776032</v>
      </c>
    </row>
    <row r="376" spans="1:11" x14ac:dyDescent="0.25">
      <c r="A376" s="218">
        <f t="shared" si="15"/>
        <v>5</v>
      </c>
      <c r="B376" s="55" t="s">
        <v>22</v>
      </c>
      <c r="C376" s="218" t="s">
        <v>23</v>
      </c>
      <c r="D376" s="31">
        <v>6</v>
      </c>
      <c r="E376" s="59">
        <v>155349</v>
      </c>
      <c r="F376" s="58">
        <f t="shared" si="16"/>
        <v>932094</v>
      </c>
      <c r="K376" s="80"/>
    </row>
    <row r="377" spans="1:11" x14ac:dyDescent="0.25">
      <c r="A377" s="218">
        <f t="shared" si="15"/>
        <v>6</v>
      </c>
      <c r="B377" s="18" t="s">
        <v>25</v>
      </c>
      <c r="C377" s="20"/>
      <c r="D377" s="20"/>
      <c r="E377" s="59">
        <v>0</v>
      </c>
      <c r="F377" s="58">
        <f t="shared" si="16"/>
        <v>0</v>
      </c>
    </row>
    <row r="378" spans="1:11" x14ac:dyDescent="0.25">
      <c r="A378" s="218">
        <f t="shared" si="15"/>
        <v>7</v>
      </c>
      <c r="B378" s="56" t="s">
        <v>26</v>
      </c>
      <c r="C378" s="218" t="s">
        <v>18</v>
      </c>
      <c r="D378" s="31">
        <v>496</v>
      </c>
      <c r="E378" s="59">
        <v>7630</v>
      </c>
      <c r="F378" s="58">
        <f t="shared" si="16"/>
        <v>3784480</v>
      </c>
    </row>
    <row r="379" spans="1:11" ht="43.5" x14ac:dyDescent="0.25">
      <c r="A379" s="218">
        <f t="shared" si="15"/>
        <v>8</v>
      </c>
      <c r="B379" s="17" t="s">
        <v>27</v>
      </c>
      <c r="C379" s="218" t="s">
        <v>64</v>
      </c>
      <c r="D379" s="31">
        <v>34.704000000000001</v>
      </c>
      <c r="E379" s="59">
        <v>83312</v>
      </c>
      <c r="F379" s="58">
        <f t="shared" si="16"/>
        <v>2891259.648</v>
      </c>
    </row>
    <row r="380" spans="1:11" x14ac:dyDescent="0.25">
      <c r="A380" s="218">
        <f t="shared" si="15"/>
        <v>9</v>
      </c>
      <c r="B380" s="18" t="s">
        <v>28</v>
      </c>
      <c r="C380" s="20"/>
      <c r="D380" s="20"/>
      <c r="E380" s="59">
        <v>0</v>
      </c>
      <c r="F380" s="58">
        <f t="shared" si="16"/>
        <v>0</v>
      </c>
    </row>
    <row r="381" spans="1:11" x14ac:dyDescent="0.25">
      <c r="A381" s="218">
        <f t="shared" si="15"/>
        <v>10</v>
      </c>
      <c r="B381" s="55" t="s">
        <v>29</v>
      </c>
      <c r="C381" s="218" t="s">
        <v>64</v>
      </c>
      <c r="D381" s="31">
        <v>315.12</v>
      </c>
      <c r="E381" s="59">
        <v>26317</v>
      </c>
      <c r="F381" s="58">
        <f t="shared" si="16"/>
        <v>8293013.04</v>
      </c>
    </row>
    <row r="382" spans="1:11" x14ac:dyDescent="0.25">
      <c r="A382" s="218">
        <f t="shared" si="15"/>
        <v>11</v>
      </c>
      <c r="B382" s="55" t="s">
        <v>31</v>
      </c>
      <c r="C382" s="218" t="s">
        <v>18</v>
      </c>
      <c r="D382" s="31">
        <v>10</v>
      </c>
      <c r="E382" s="59">
        <v>31128</v>
      </c>
      <c r="F382" s="58">
        <f t="shared" si="16"/>
        <v>311280</v>
      </c>
    </row>
    <row r="383" spans="1:11" ht="29.25" x14ac:dyDescent="0.25">
      <c r="A383" s="218">
        <f t="shared" si="15"/>
        <v>12</v>
      </c>
      <c r="B383" s="17" t="s">
        <v>32</v>
      </c>
      <c r="C383" s="218" t="s">
        <v>64</v>
      </c>
      <c r="D383" s="31">
        <v>120</v>
      </c>
      <c r="E383" s="59">
        <v>32749</v>
      </c>
      <c r="F383" s="58">
        <f t="shared" si="16"/>
        <v>3929880</v>
      </c>
    </row>
    <row r="384" spans="1:11" ht="30" x14ac:dyDescent="0.25">
      <c r="A384" s="218">
        <f t="shared" si="15"/>
        <v>13</v>
      </c>
      <c r="B384" s="188" t="s">
        <v>33</v>
      </c>
      <c r="C384" s="20"/>
      <c r="D384" s="20"/>
      <c r="E384" s="59">
        <v>0</v>
      </c>
      <c r="F384" s="58">
        <f t="shared" si="16"/>
        <v>0</v>
      </c>
    </row>
    <row r="385" spans="1:6" ht="29.25" x14ac:dyDescent="0.25">
      <c r="A385" s="218">
        <f t="shared" si="15"/>
        <v>14</v>
      </c>
      <c r="B385" s="17" t="s">
        <v>99</v>
      </c>
      <c r="C385" s="218" t="s">
        <v>18</v>
      </c>
      <c r="D385" s="31">
        <v>96</v>
      </c>
      <c r="E385" s="59">
        <v>27734</v>
      </c>
      <c r="F385" s="58">
        <f t="shared" si="16"/>
        <v>2662464</v>
      </c>
    </row>
    <row r="386" spans="1:6" ht="57" x14ac:dyDescent="0.25">
      <c r="A386" s="218">
        <f>A385+1</f>
        <v>15</v>
      </c>
      <c r="B386" s="57" t="s">
        <v>35</v>
      </c>
      <c r="C386" s="218" t="s">
        <v>18</v>
      </c>
      <c r="D386" s="31">
        <v>1</v>
      </c>
      <c r="E386" s="59">
        <v>637411</v>
      </c>
      <c r="F386" s="58">
        <f t="shared" si="16"/>
        <v>637411</v>
      </c>
    </row>
    <row r="387" spans="1:6" ht="43.5" x14ac:dyDescent="0.25">
      <c r="A387" s="218">
        <f t="shared" si="15"/>
        <v>16</v>
      </c>
      <c r="B387" s="17" t="s">
        <v>74</v>
      </c>
      <c r="C387" s="218" t="s">
        <v>37</v>
      </c>
      <c r="D387" s="31">
        <v>1</v>
      </c>
      <c r="E387" s="59">
        <v>777600</v>
      </c>
      <c r="F387" s="58">
        <f t="shared" si="16"/>
        <v>777600</v>
      </c>
    </row>
    <row r="388" spans="1:6" x14ac:dyDescent="0.25">
      <c r="A388" s="218">
        <f t="shared" si="15"/>
        <v>17</v>
      </c>
      <c r="B388" s="55" t="s">
        <v>38</v>
      </c>
      <c r="C388" s="218" t="s">
        <v>37</v>
      </c>
      <c r="D388" s="31">
        <v>2</v>
      </c>
      <c r="E388" s="59">
        <v>540447</v>
      </c>
      <c r="F388" s="58">
        <f t="shared" si="16"/>
        <v>1080894</v>
      </c>
    </row>
    <row r="389" spans="1:6" ht="29.25" x14ac:dyDescent="0.25">
      <c r="A389" s="218">
        <f t="shared" si="15"/>
        <v>18</v>
      </c>
      <c r="B389" s="17" t="s">
        <v>39</v>
      </c>
      <c r="C389" s="218" t="s">
        <v>18</v>
      </c>
      <c r="D389" s="31">
        <v>156</v>
      </c>
      <c r="E389" s="59">
        <v>13802</v>
      </c>
      <c r="F389" s="58">
        <f t="shared" si="16"/>
        <v>2153112</v>
      </c>
    </row>
    <row r="390" spans="1:6" ht="43.5" x14ac:dyDescent="0.25">
      <c r="A390" s="218">
        <f t="shared" si="15"/>
        <v>19</v>
      </c>
      <c r="B390" s="17" t="s">
        <v>40</v>
      </c>
      <c r="C390" s="218" t="s">
        <v>23</v>
      </c>
      <c r="D390" s="31">
        <v>19</v>
      </c>
      <c r="E390" s="59">
        <v>399818</v>
      </c>
      <c r="F390" s="58">
        <f t="shared" si="16"/>
        <v>7596542</v>
      </c>
    </row>
    <row r="391" spans="1:6" x14ac:dyDescent="0.25">
      <c r="A391" s="218">
        <f t="shared" si="15"/>
        <v>20</v>
      </c>
      <c r="B391" s="55" t="s">
        <v>101</v>
      </c>
      <c r="C391" s="218" t="s">
        <v>23</v>
      </c>
      <c r="D391" s="31">
        <v>16</v>
      </c>
      <c r="E391" s="59">
        <v>43482</v>
      </c>
      <c r="F391" s="58">
        <f t="shared" si="16"/>
        <v>695712</v>
      </c>
    </row>
    <row r="392" spans="1:6" x14ac:dyDescent="0.25">
      <c r="A392" s="218">
        <f t="shared" si="15"/>
        <v>21</v>
      </c>
      <c r="B392" s="55" t="s">
        <v>42</v>
      </c>
      <c r="C392" s="218" t="s">
        <v>23</v>
      </c>
      <c r="D392" s="31">
        <v>2</v>
      </c>
      <c r="E392" s="59">
        <v>90312</v>
      </c>
      <c r="F392" s="58">
        <f t="shared" si="16"/>
        <v>180624</v>
      </c>
    </row>
    <row r="393" spans="1:6" x14ac:dyDescent="0.25">
      <c r="A393" s="218">
        <f t="shared" si="15"/>
        <v>22</v>
      </c>
      <c r="B393" s="18" t="s">
        <v>43</v>
      </c>
      <c r="C393" s="20"/>
      <c r="D393" s="20"/>
      <c r="E393" s="59">
        <v>0</v>
      </c>
      <c r="F393" s="58">
        <f t="shared" si="16"/>
        <v>0</v>
      </c>
    </row>
    <row r="394" spans="1:6" x14ac:dyDescent="0.25">
      <c r="A394" s="218">
        <f t="shared" si="15"/>
        <v>23</v>
      </c>
      <c r="B394" s="55" t="s">
        <v>44</v>
      </c>
      <c r="C394" s="218" t="s">
        <v>64</v>
      </c>
      <c r="D394" s="31">
        <v>22</v>
      </c>
      <c r="E394" s="59">
        <v>120657</v>
      </c>
      <c r="F394" s="58">
        <f t="shared" si="16"/>
        <v>2654454</v>
      </c>
    </row>
    <row r="395" spans="1:6" ht="29.25" x14ac:dyDescent="0.25">
      <c r="A395" s="218">
        <f t="shared" si="15"/>
        <v>24</v>
      </c>
      <c r="B395" s="17" t="s">
        <v>45</v>
      </c>
      <c r="C395" s="218" t="s">
        <v>64</v>
      </c>
      <c r="D395" s="31">
        <v>234</v>
      </c>
      <c r="E395" s="59">
        <v>22131</v>
      </c>
      <c r="F395" s="58">
        <f t="shared" si="16"/>
        <v>5178654</v>
      </c>
    </row>
    <row r="396" spans="1:6" x14ac:dyDescent="0.25">
      <c r="A396" s="218">
        <f t="shared" si="15"/>
        <v>25</v>
      </c>
      <c r="B396" s="55" t="s">
        <v>46</v>
      </c>
      <c r="C396" s="218" t="s">
        <v>64</v>
      </c>
      <c r="D396" s="31">
        <v>48</v>
      </c>
      <c r="E396" s="59">
        <v>144847</v>
      </c>
      <c r="F396" s="58">
        <f t="shared" si="16"/>
        <v>6952656</v>
      </c>
    </row>
    <row r="397" spans="1:6" x14ac:dyDescent="0.25">
      <c r="A397" s="218">
        <f t="shared" si="15"/>
        <v>26</v>
      </c>
      <c r="B397" s="18" t="s">
        <v>48</v>
      </c>
      <c r="C397" s="20"/>
      <c r="D397" s="20"/>
      <c r="E397" s="59">
        <v>0</v>
      </c>
      <c r="F397" s="58">
        <f t="shared" si="16"/>
        <v>0</v>
      </c>
    </row>
    <row r="398" spans="1:6" ht="29.25" x14ac:dyDescent="0.25">
      <c r="A398" s="218">
        <f t="shared" si="15"/>
        <v>27</v>
      </c>
      <c r="B398" s="17" t="s">
        <v>49</v>
      </c>
      <c r="C398" s="218" t="s">
        <v>64</v>
      </c>
      <c r="D398" s="31">
        <v>2</v>
      </c>
      <c r="E398" s="59">
        <v>605480</v>
      </c>
      <c r="F398" s="58">
        <f t="shared" si="16"/>
        <v>1210960</v>
      </c>
    </row>
    <row r="399" spans="1:6" ht="29.25" x14ac:dyDescent="0.25">
      <c r="A399" s="218">
        <f t="shared" si="15"/>
        <v>28</v>
      </c>
      <c r="B399" s="17" t="s">
        <v>1021</v>
      </c>
      <c r="C399" s="218" t="s">
        <v>64</v>
      </c>
      <c r="D399" s="31">
        <v>19</v>
      </c>
      <c r="E399" s="59">
        <v>822268</v>
      </c>
      <c r="F399" s="58">
        <f t="shared" si="16"/>
        <v>15623092</v>
      </c>
    </row>
    <row r="400" spans="1:6" x14ac:dyDescent="0.25">
      <c r="A400" s="218">
        <f t="shared" si="15"/>
        <v>29</v>
      </c>
      <c r="B400" s="18" t="s">
        <v>51</v>
      </c>
      <c r="C400" s="20"/>
      <c r="D400" s="20"/>
      <c r="E400" s="59">
        <v>0</v>
      </c>
      <c r="F400" s="58">
        <f t="shared" si="16"/>
        <v>0</v>
      </c>
    </row>
    <row r="401" spans="1:11" x14ac:dyDescent="0.25">
      <c r="A401" s="218">
        <f t="shared" si="15"/>
        <v>30</v>
      </c>
      <c r="B401" s="55" t="s">
        <v>52</v>
      </c>
      <c r="C401" s="218" t="s">
        <v>53</v>
      </c>
      <c r="D401" s="31">
        <v>180</v>
      </c>
      <c r="E401" s="59">
        <v>5922</v>
      </c>
      <c r="F401" s="58">
        <f t="shared" si="16"/>
        <v>1065960</v>
      </c>
      <c r="K401" s="80"/>
    </row>
    <row r="402" spans="1:11" x14ac:dyDescent="0.25">
      <c r="A402" s="216"/>
      <c r="B402" s="18" t="s">
        <v>56</v>
      </c>
      <c r="C402" s="54"/>
      <c r="D402" s="130"/>
      <c r="E402" s="28"/>
      <c r="F402" s="28">
        <f>ROUND((F401+F400+F399+F398+F397+F396+F395+F394+F393+F392+F391+F390+F389+F388+F387+F386+F385+F384+F383+F382+F380+F379+F378+F377+F381+F376+F375+F374+F373),0)</f>
        <v>77099790</v>
      </c>
    </row>
    <row r="403" spans="1:11" x14ac:dyDescent="0.25">
      <c r="A403" s="19"/>
      <c r="B403" s="19" t="s">
        <v>60</v>
      </c>
      <c r="C403" s="19"/>
      <c r="D403" s="19"/>
      <c r="E403" s="19"/>
      <c r="F403" s="29">
        <f>ROUND(F402/1.3495,0)</f>
        <v>57132116</v>
      </c>
    </row>
    <row r="404" spans="1:11" x14ac:dyDescent="0.25">
      <c r="A404" s="19"/>
      <c r="B404" s="19" t="s">
        <v>61</v>
      </c>
      <c r="C404" s="131">
        <v>0.24</v>
      </c>
      <c r="D404" s="19"/>
      <c r="E404" s="19"/>
      <c r="F404" s="29">
        <f>ROUND(F403*C404,0)</f>
        <v>13711708</v>
      </c>
    </row>
    <row r="405" spans="1:11" x14ac:dyDescent="0.25">
      <c r="A405" s="19"/>
      <c r="B405" s="19" t="s">
        <v>57</v>
      </c>
      <c r="C405" s="131">
        <v>0.05</v>
      </c>
      <c r="D405" s="19"/>
      <c r="E405" s="19"/>
      <c r="F405" s="29">
        <f>ROUND(F403*C405,0)</f>
        <v>2856606</v>
      </c>
    </row>
    <row r="406" spans="1:11" x14ac:dyDescent="0.25">
      <c r="A406" s="19"/>
      <c r="B406" s="19" t="s">
        <v>62</v>
      </c>
      <c r="C406" s="131">
        <v>0.05</v>
      </c>
      <c r="D406" s="19"/>
      <c r="E406" s="19"/>
      <c r="F406" s="29">
        <f>ROUND(F403*C406,0)</f>
        <v>2856606</v>
      </c>
    </row>
    <row r="407" spans="1:11" x14ac:dyDescent="0.25">
      <c r="A407" s="19"/>
      <c r="B407" s="132" t="s">
        <v>63</v>
      </c>
      <c r="C407" s="133">
        <v>0.19</v>
      </c>
      <c r="D407" s="120"/>
      <c r="E407" s="120"/>
      <c r="F407" s="35">
        <f>ROUND(F406*19%,0)</f>
        <v>542755</v>
      </c>
    </row>
    <row r="408" spans="1:11" x14ac:dyDescent="0.25">
      <c r="A408" s="19"/>
      <c r="B408" s="18" t="s">
        <v>56</v>
      </c>
      <c r="C408" s="19"/>
      <c r="D408" s="19"/>
      <c r="E408" s="19"/>
      <c r="F408" s="30">
        <f>SUM(F403:F407)</f>
        <v>77099791</v>
      </c>
    </row>
    <row r="410" spans="1:11" x14ac:dyDescent="0.25">
      <c r="A410" s="422" t="s">
        <v>272</v>
      </c>
      <c r="B410" s="422"/>
      <c r="C410" s="422"/>
      <c r="D410" s="422"/>
      <c r="E410" s="422"/>
      <c r="F410" s="422"/>
    </row>
    <row r="411" spans="1:11" x14ac:dyDescent="0.25">
      <c r="A411" s="420" t="s">
        <v>10</v>
      </c>
      <c r="B411" s="420" t="s">
        <v>0</v>
      </c>
      <c r="C411" s="420" t="s">
        <v>11</v>
      </c>
      <c r="D411" s="420" t="s">
        <v>12</v>
      </c>
      <c r="E411" s="420"/>
      <c r="F411" s="420"/>
    </row>
    <row r="412" spans="1:11" x14ac:dyDescent="0.25">
      <c r="A412" s="420"/>
      <c r="B412" s="420"/>
      <c r="C412" s="420"/>
      <c r="D412" s="54" t="s">
        <v>13</v>
      </c>
      <c r="E412" s="54" t="s">
        <v>14</v>
      </c>
      <c r="F412" s="54" t="s">
        <v>15</v>
      </c>
    </row>
    <row r="413" spans="1:11" x14ac:dyDescent="0.25">
      <c r="A413" s="218">
        <f t="shared" ref="A413:A437" si="17">A412+1</f>
        <v>1</v>
      </c>
      <c r="B413" s="18" t="s">
        <v>16</v>
      </c>
      <c r="C413" s="420"/>
      <c r="D413" s="420"/>
      <c r="E413" s="420"/>
      <c r="F413" s="20"/>
      <c r="K413" s="80"/>
    </row>
    <row r="414" spans="1:11" x14ac:dyDescent="0.25">
      <c r="A414" s="218">
        <f t="shared" si="17"/>
        <v>2</v>
      </c>
      <c r="B414" s="55" t="s">
        <v>91</v>
      </c>
      <c r="C414" s="218" t="s">
        <v>18</v>
      </c>
      <c r="D414" s="31">
        <v>96</v>
      </c>
      <c r="E414" s="58">
        <v>5230</v>
      </c>
      <c r="F414" s="58">
        <f t="shared" ref="F414:F437" si="18">D414*E414</f>
        <v>502080</v>
      </c>
    </row>
    <row r="415" spans="1:11" x14ac:dyDescent="0.25">
      <c r="A415" s="218">
        <f>A414+1</f>
        <v>3</v>
      </c>
      <c r="B415" s="55" t="s">
        <v>22</v>
      </c>
      <c r="C415" s="218" t="s">
        <v>23</v>
      </c>
      <c r="D415" s="31">
        <v>2</v>
      </c>
      <c r="E415" s="58">
        <v>155814</v>
      </c>
      <c r="F415" s="58">
        <f t="shared" si="18"/>
        <v>311628</v>
      </c>
    </row>
    <row r="416" spans="1:11" x14ac:dyDescent="0.25">
      <c r="A416" s="218">
        <f t="shared" si="17"/>
        <v>4</v>
      </c>
      <c r="B416" s="18" t="s">
        <v>25</v>
      </c>
      <c r="C416" s="20"/>
      <c r="D416" s="20"/>
      <c r="E416" s="58">
        <v>0</v>
      </c>
      <c r="F416" s="58">
        <f t="shared" si="18"/>
        <v>0</v>
      </c>
    </row>
    <row r="417" spans="1:6" x14ac:dyDescent="0.25">
      <c r="A417" s="218">
        <f t="shared" si="17"/>
        <v>5</v>
      </c>
      <c r="B417" s="56" t="s">
        <v>26</v>
      </c>
      <c r="C417" s="218" t="s">
        <v>18</v>
      </c>
      <c r="D417" s="31">
        <v>576</v>
      </c>
      <c r="E417" s="58">
        <v>7652</v>
      </c>
      <c r="F417" s="58">
        <f t="shared" si="18"/>
        <v>4407552</v>
      </c>
    </row>
    <row r="418" spans="1:6" ht="43.5" x14ac:dyDescent="0.25">
      <c r="A418" s="218">
        <f t="shared" si="17"/>
        <v>6</v>
      </c>
      <c r="B418" s="17" t="s">
        <v>78</v>
      </c>
      <c r="C418" s="218" t="s">
        <v>64</v>
      </c>
      <c r="D418" s="31">
        <v>19</v>
      </c>
      <c r="E418" s="58">
        <v>83560</v>
      </c>
      <c r="F418" s="58">
        <f t="shared" si="18"/>
        <v>1587640</v>
      </c>
    </row>
    <row r="419" spans="1:6" x14ac:dyDescent="0.25">
      <c r="A419" s="218">
        <f t="shared" si="17"/>
        <v>7</v>
      </c>
      <c r="B419" s="18" t="s">
        <v>28</v>
      </c>
      <c r="C419" s="20"/>
      <c r="D419" s="20"/>
      <c r="E419" s="58">
        <v>0</v>
      </c>
      <c r="F419" s="58">
        <f t="shared" si="18"/>
        <v>0</v>
      </c>
    </row>
    <row r="420" spans="1:6" x14ac:dyDescent="0.25">
      <c r="A420" s="218">
        <f t="shared" si="17"/>
        <v>8</v>
      </c>
      <c r="B420" s="55" t="s">
        <v>79</v>
      </c>
      <c r="C420" s="218" t="s">
        <v>64</v>
      </c>
      <c r="D420" s="31">
        <v>78</v>
      </c>
      <c r="E420" s="58">
        <v>26395</v>
      </c>
      <c r="F420" s="58">
        <f t="shared" si="18"/>
        <v>2058810</v>
      </c>
    </row>
    <row r="421" spans="1:6" ht="29.25" x14ac:dyDescent="0.25">
      <c r="A421" s="218">
        <f t="shared" si="17"/>
        <v>9</v>
      </c>
      <c r="B421" s="17" t="s">
        <v>32</v>
      </c>
      <c r="C421" s="218" t="s">
        <v>64</v>
      </c>
      <c r="D421" s="31">
        <v>55</v>
      </c>
      <c r="E421" s="58">
        <v>32848</v>
      </c>
      <c r="F421" s="58">
        <f t="shared" si="18"/>
        <v>1806640</v>
      </c>
    </row>
    <row r="422" spans="1:6" x14ac:dyDescent="0.25">
      <c r="A422" s="218">
        <f t="shared" si="17"/>
        <v>10</v>
      </c>
      <c r="B422" s="18" t="s">
        <v>80</v>
      </c>
      <c r="C422" s="20"/>
      <c r="D422" s="20"/>
      <c r="E422" s="58">
        <v>0</v>
      </c>
      <c r="F422" s="58">
        <f t="shared" si="18"/>
        <v>0</v>
      </c>
    </row>
    <row r="423" spans="1:6" x14ac:dyDescent="0.25">
      <c r="A423" s="218">
        <f t="shared" si="17"/>
        <v>11</v>
      </c>
      <c r="B423" s="55" t="s">
        <v>90</v>
      </c>
      <c r="C423" s="218" t="s">
        <v>18</v>
      </c>
      <c r="D423" s="31">
        <v>96</v>
      </c>
      <c r="E423" s="58">
        <v>7924</v>
      </c>
      <c r="F423" s="58">
        <f t="shared" si="18"/>
        <v>760704</v>
      </c>
    </row>
    <row r="424" spans="1:6" ht="43.5" x14ac:dyDescent="0.25">
      <c r="A424" s="218">
        <f t="shared" si="17"/>
        <v>12</v>
      </c>
      <c r="B424" s="17" t="s">
        <v>82</v>
      </c>
      <c r="C424" s="218" t="s">
        <v>37</v>
      </c>
      <c r="D424" s="31">
        <v>24</v>
      </c>
      <c r="E424" s="58">
        <v>42039</v>
      </c>
      <c r="F424" s="58">
        <f t="shared" si="18"/>
        <v>1008936</v>
      </c>
    </row>
    <row r="425" spans="1:6" x14ac:dyDescent="0.25">
      <c r="A425" s="218">
        <f t="shared" si="17"/>
        <v>13</v>
      </c>
      <c r="B425" s="57" t="s">
        <v>83</v>
      </c>
      <c r="C425" s="218" t="s">
        <v>37</v>
      </c>
      <c r="D425" s="31">
        <v>1</v>
      </c>
      <c r="E425" s="58">
        <v>210191</v>
      </c>
      <c r="F425" s="58">
        <f t="shared" si="18"/>
        <v>210191</v>
      </c>
    </row>
    <row r="426" spans="1:6" ht="43.5" x14ac:dyDescent="0.25">
      <c r="A426" s="218">
        <f t="shared" si="17"/>
        <v>14</v>
      </c>
      <c r="B426" s="17" t="s">
        <v>159</v>
      </c>
      <c r="C426" s="218" t="s">
        <v>37</v>
      </c>
      <c r="D426" s="31">
        <v>1</v>
      </c>
      <c r="E426" s="58">
        <v>345600</v>
      </c>
      <c r="F426" s="58">
        <f t="shared" si="18"/>
        <v>345600</v>
      </c>
    </row>
    <row r="427" spans="1:6" x14ac:dyDescent="0.25">
      <c r="A427" s="218">
        <f t="shared" si="17"/>
        <v>15</v>
      </c>
      <c r="B427" s="55" t="s">
        <v>85</v>
      </c>
      <c r="C427" s="218" t="s">
        <v>23</v>
      </c>
      <c r="D427" s="31">
        <v>2</v>
      </c>
      <c r="E427" s="58">
        <v>90583</v>
      </c>
      <c r="F427" s="58">
        <f t="shared" si="18"/>
        <v>181166</v>
      </c>
    </row>
    <row r="428" spans="1:6" x14ac:dyDescent="0.25">
      <c r="A428" s="218">
        <f t="shared" si="17"/>
        <v>16</v>
      </c>
      <c r="B428" s="18" t="s">
        <v>43</v>
      </c>
      <c r="C428" s="20"/>
      <c r="D428" s="20"/>
      <c r="E428" s="58">
        <v>0</v>
      </c>
      <c r="F428" s="58">
        <f t="shared" si="18"/>
        <v>0</v>
      </c>
    </row>
    <row r="429" spans="1:6" x14ac:dyDescent="0.25">
      <c r="A429" s="218">
        <f t="shared" si="17"/>
        <v>17</v>
      </c>
      <c r="B429" s="55" t="s">
        <v>44</v>
      </c>
      <c r="C429" s="218" t="s">
        <v>64</v>
      </c>
      <c r="D429" s="31">
        <v>9</v>
      </c>
      <c r="E429" s="58">
        <v>121019</v>
      </c>
      <c r="F429" s="58">
        <f t="shared" si="18"/>
        <v>1089171</v>
      </c>
    </row>
    <row r="430" spans="1:6" ht="29.25" x14ac:dyDescent="0.25">
      <c r="A430" s="218">
        <f t="shared" si="17"/>
        <v>18</v>
      </c>
      <c r="B430" s="17" t="s">
        <v>45</v>
      </c>
      <c r="C430" s="218" t="s">
        <v>64</v>
      </c>
      <c r="D430" s="31">
        <v>40</v>
      </c>
      <c r="E430" s="58">
        <v>22197</v>
      </c>
      <c r="F430" s="58">
        <f t="shared" si="18"/>
        <v>887880</v>
      </c>
    </row>
    <row r="431" spans="1:6" x14ac:dyDescent="0.25">
      <c r="A431" s="218">
        <f t="shared" si="17"/>
        <v>19</v>
      </c>
      <c r="B431" s="55" t="s">
        <v>273</v>
      </c>
      <c r="C431" s="218" t="s">
        <v>64</v>
      </c>
      <c r="D431" s="31">
        <v>26</v>
      </c>
      <c r="E431" s="58">
        <v>145281</v>
      </c>
      <c r="F431" s="58">
        <f t="shared" si="18"/>
        <v>3777306</v>
      </c>
    </row>
    <row r="432" spans="1:6" ht="29.25" x14ac:dyDescent="0.25">
      <c r="A432" s="218">
        <f t="shared" si="17"/>
        <v>20</v>
      </c>
      <c r="B432" s="17" t="s">
        <v>86</v>
      </c>
      <c r="C432" s="218" t="s">
        <v>64</v>
      </c>
      <c r="D432" s="31">
        <v>2</v>
      </c>
      <c r="E432" s="58">
        <v>607296</v>
      </c>
      <c r="F432" s="58">
        <f t="shared" si="18"/>
        <v>1214592</v>
      </c>
    </row>
    <row r="433" spans="1:13" ht="29.25" x14ac:dyDescent="0.25">
      <c r="A433" s="218">
        <f t="shared" si="17"/>
        <v>21</v>
      </c>
      <c r="B433" s="17" t="s">
        <v>1019</v>
      </c>
      <c r="C433" s="218" t="s">
        <v>64</v>
      </c>
      <c r="D433" s="31">
        <v>10</v>
      </c>
      <c r="E433" s="58">
        <v>824735</v>
      </c>
      <c r="F433" s="58">
        <f t="shared" si="18"/>
        <v>8247350</v>
      </c>
    </row>
    <row r="434" spans="1:13" x14ac:dyDescent="0.25">
      <c r="A434" s="218">
        <f t="shared" si="17"/>
        <v>22</v>
      </c>
      <c r="B434" s="18" t="s">
        <v>51</v>
      </c>
      <c r="C434" s="20"/>
      <c r="D434" s="20"/>
      <c r="E434" s="58">
        <v>0</v>
      </c>
      <c r="F434" s="58">
        <f t="shared" si="18"/>
        <v>0</v>
      </c>
      <c r="K434" s="80"/>
    </row>
    <row r="435" spans="1:13" x14ac:dyDescent="0.25">
      <c r="A435" s="218">
        <f t="shared" si="17"/>
        <v>23</v>
      </c>
      <c r="B435" s="55" t="s">
        <v>88</v>
      </c>
      <c r="C435" s="218" t="s">
        <v>53</v>
      </c>
      <c r="D435" s="31">
        <v>36</v>
      </c>
      <c r="E435" s="58">
        <v>5922</v>
      </c>
      <c r="F435" s="58">
        <f t="shared" si="18"/>
        <v>213192</v>
      </c>
    </row>
    <row r="436" spans="1:13" ht="43.5" x14ac:dyDescent="0.25">
      <c r="A436" s="218">
        <f t="shared" si="17"/>
        <v>24</v>
      </c>
      <c r="B436" s="17" t="s">
        <v>820</v>
      </c>
      <c r="C436" s="218" t="s">
        <v>55</v>
      </c>
      <c r="D436" s="31">
        <v>2</v>
      </c>
      <c r="E436" s="59">
        <f>1673138</f>
        <v>1673138</v>
      </c>
      <c r="F436" s="58">
        <f t="shared" si="18"/>
        <v>3346276</v>
      </c>
    </row>
    <row r="437" spans="1:13" ht="29.25" x14ac:dyDescent="0.25">
      <c r="A437" s="218">
        <f t="shared" si="17"/>
        <v>25</v>
      </c>
      <c r="B437" s="17" t="s">
        <v>819</v>
      </c>
      <c r="C437" s="218" t="s">
        <v>23</v>
      </c>
      <c r="D437" s="31">
        <v>1</v>
      </c>
      <c r="E437" s="58">
        <v>788768</v>
      </c>
      <c r="F437" s="58">
        <f t="shared" si="18"/>
        <v>788768</v>
      </c>
    </row>
    <row r="438" spans="1:13" x14ac:dyDescent="0.25">
      <c r="A438" s="216"/>
      <c r="B438" s="18" t="s">
        <v>56</v>
      </c>
      <c r="C438" s="54"/>
      <c r="D438" s="130"/>
      <c r="E438" s="28"/>
      <c r="F438" s="28">
        <f>ROUND((F436+F435+F434+F433+F432+F431+F430+F429+F428+F427+F426+F425+F424+F423+F422+F421+F420+F419+F418+F417+F416+F414+F415+F437),0)</f>
        <v>32745482</v>
      </c>
    </row>
    <row r="439" spans="1:13" x14ac:dyDescent="0.25">
      <c r="A439" s="19"/>
      <c r="B439" s="19" t="s">
        <v>60</v>
      </c>
      <c r="C439" s="19"/>
      <c r="D439" s="19"/>
      <c r="E439" s="19"/>
      <c r="F439" s="29">
        <f>ROUND(F438/1.3495,0)</f>
        <v>24264900</v>
      </c>
    </row>
    <row r="440" spans="1:13" x14ac:dyDescent="0.25">
      <c r="A440" s="19"/>
      <c r="B440" s="19" t="s">
        <v>61</v>
      </c>
      <c r="C440" s="131">
        <v>0.24</v>
      </c>
      <c r="D440" s="19"/>
      <c r="E440" s="19"/>
      <c r="F440" s="29">
        <f>ROUND(F439*C440,0)</f>
        <v>5823576</v>
      </c>
    </row>
    <row r="441" spans="1:13" x14ac:dyDescent="0.25">
      <c r="A441" s="19"/>
      <c r="B441" s="19" t="s">
        <v>57</v>
      </c>
      <c r="C441" s="131">
        <v>0.05</v>
      </c>
      <c r="D441" s="19"/>
      <c r="E441" s="19"/>
      <c r="F441" s="29">
        <f>ROUND(F439*C441,0)</f>
        <v>1213245</v>
      </c>
    </row>
    <row r="442" spans="1:13" x14ac:dyDescent="0.25">
      <c r="A442" s="19"/>
      <c r="B442" s="19" t="s">
        <v>62</v>
      </c>
      <c r="C442" s="131">
        <v>0.05</v>
      </c>
      <c r="D442" s="19"/>
      <c r="E442" s="19"/>
      <c r="F442" s="29">
        <f>ROUND(F439*C442,0)</f>
        <v>1213245</v>
      </c>
    </row>
    <row r="443" spans="1:13" x14ac:dyDescent="0.25">
      <c r="A443" s="19"/>
      <c r="B443" s="132" t="s">
        <v>63</v>
      </c>
      <c r="C443" s="133">
        <v>0.19</v>
      </c>
      <c r="D443" s="120"/>
      <c r="E443" s="120"/>
      <c r="F443" s="35">
        <f>ROUND(F442*19%,0)</f>
        <v>230517</v>
      </c>
    </row>
    <row r="444" spans="1:13" x14ac:dyDescent="0.25">
      <c r="A444" s="19"/>
      <c r="B444" s="18" t="s">
        <v>56</v>
      </c>
      <c r="C444" s="19"/>
      <c r="D444" s="19"/>
      <c r="E444" s="19"/>
      <c r="F444" s="30">
        <f>SUM(F439:F443)</f>
        <v>32745483</v>
      </c>
    </row>
    <row r="447" spans="1:13" x14ac:dyDescent="0.25">
      <c r="B447" s="282" t="s">
        <v>274</v>
      </c>
      <c r="F447" s="137">
        <f>F444+F408+F361+F2793+F323</f>
        <v>220223675</v>
      </c>
      <c r="H447" s="80"/>
      <c r="I447" s="184"/>
      <c r="K447" s="182"/>
      <c r="L447" s="285"/>
      <c r="M447" s="183">
        <f>K447-L447</f>
        <v>0</v>
      </c>
    </row>
    <row r="448" spans="1:13" x14ac:dyDescent="0.25">
      <c r="B448" s="282"/>
      <c r="F448" s="137"/>
    </row>
    <row r="449" spans="1:11" x14ac:dyDescent="0.25">
      <c r="B449" s="282" t="s">
        <v>3</v>
      </c>
      <c r="F449" s="137"/>
      <c r="H449" s="83"/>
      <c r="I449" s="83"/>
      <c r="J449" s="83"/>
    </row>
    <row r="450" spans="1:11" x14ac:dyDescent="0.25">
      <c r="B450" s="282"/>
      <c r="F450" s="137"/>
    </row>
    <row r="451" spans="1:11" x14ac:dyDescent="0.25">
      <c r="B451" s="282"/>
      <c r="F451" s="137"/>
    </row>
    <row r="452" spans="1:11" x14ac:dyDescent="0.25">
      <c r="A452" s="422" t="s">
        <v>717</v>
      </c>
      <c r="B452" s="422"/>
      <c r="C452" s="422"/>
      <c r="D452" s="422"/>
      <c r="E452" s="422"/>
      <c r="F452" s="422"/>
    </row>
    <row r="453" spans="1:11" x14ac:dyDescent="0.25">
      <c r="A453" s="420" t="s">
        <v>10</v>
      </c>
      <c r="B453" s="420" t="s">
        <v>0</v>
      </c>
      <c r="C453" s="420" t="s">
        <v>11</v>
      </c>
      <c r="D453" s="420" t="s">
        <v>12</v>
      </c>
      <c r="E453" s="420"/>
      <c r="F453" s="420"/>
    </row>
    <row r="454" spans="1:11" x14ac:dyDescent="0.25">
      <c r="A454" s="420"/>
      <c r="B454" s="420"/>
      <c r="C454" s="420"/>
      <c r="D454" s="54" t="s">
        <v>13</v>
      </c>
      <c r="E454" s="54" t="s">
        <v>14</v>
      </c>
      <c r="F454" s="54" t="s">
        <v>15</v>
      </c>
    </row>
    <row r="455" spans="1:11" x14ac:dyDescent="0.25">
      <c r="A455" s="218">
        <f t="shared" ref="A455:A485" si="19">A454+1</f>
        <v>1</v>
      </c>
      <c r="B455" s="188" t="s">
        <v>16</v>
      </c>
      <c r="C455" s="420"/>
      <c r="D455" s="420"/>
      <c r="E455" s="420"/>
      <c r="F455" s="20"/>
    </row>
    <row r="456" spans="1:11" ht="29.25" x14ac:dyDescent="0.25">
      <c r="A456" s="218">
        <f t="shared" si="19"/>
        <v>2</v>
      </c>
      <c r="B456" s="17" t="s">
        <v>17</v>
      </c>
      <c r="C456" s="119" t="s">
        <v>18</v>
      </c>
      <c r="D456" s="61">
        <v>169</v>
      </c>
      <c r="E456" s="242">
        <v>5214</v>
      </c>
      <c r="F456" s="187">
        <f t="shared" ref="F456:F485" si="20">ROUND(D456*E456,0)</f>
        <v>881166</v>
      </c>
    </row>
    <row r="457" spans="1:11" ht="29.25" x14ac:dyDescent="0.25">
      <c r="A457" s="218">
        <f t="shared" si="19"/>
        <v>3</v>
      </c>
      <c r="B457" s="17" t="s">
        <v>19</v>
      </c>
      <c r="C457" s="119" t="s">
        <v>20</v>
      </c>
      <c r="D457" s="61">
        <v>1014</v>
      </c>
      <c r="E457" s="242">
        <v>9047</v>
      </c>
      <c r="F457" s="187">
        <f t="shared" si="20"/>
        <v>9173658</v>
      </c>
    </row>
    <row r="458" spans="1:11" ht="29.25" x14ac:dyDescent="0.25">
      <c r="A458" s="218">
        <f>A457+1</f>
        <v>4</v>
      </c>
      <c r="B458" s="17" t="s">
        <v>21</v>
      </c>
      <c r="C458" s="119" t="s">
        <v>18</v>
      </c>
      <c r="D458" s="61">
        <v>350</v>
      </c>
      <c r="E458" s="242">
        <v>13608</v>
      </c>
      <c r="F458" s="187">
        <f t="shared" si="20"/>
        <v>4762800</v>
      </c>
    </row>
    <row r="459" spans="1:11" x14ac:dyDescent="0.25">
      <c r="A459" s="218">
        <f t="shared" si="19"/>
        <v>5</v>
      </c>
      <c r="B459" s="17" t="s">
        <v>22</v>
      </c>
      <c r="C459" s="119" t="s">
        <v>23</v>
      </c>
      <c r="D459" s="61">
        <v>3</v>
      </c>
      <c r="E459" s="242">
        <v>155349</v>
      </c>
      <c r="F459" s="187">
        <f t="shared" si="20"/>
        <v>466047</v>
      </c>
      <c r="K459" s="80"/>
    </row>
    <row r="460" spans="1:11" x14ac:dyDescent="0.25">
      <c r="A460" s="218">
        <f t="shared" si="19"/>
        <v>6</v>
      </c>
      <c r="B460" s="188" t="s">
        <v>25</v>
      </c>
      <c r="C460" s="20"/>
      <c r="D460" s="20"/>
      <c r="E460" s="242">
        <v>0</v>
      </c>
      <c r="F460" s="187">
        <f t="shared" si="20"/>
        <v>0</v>
      </c>
    </row>
    <row r="461" spans="1:11" x14ac:dyDescent="0.25">
      <c r="A461" s="218">
        <f t="shared" si="19"/>
        <v>7</v>
      </c>
      <c r="B461" s="56" t="s">
        <v>26</v>
      </c>
      <c r="C461" s="119" t="s">
        <v>18</v>
      </c>
      <c r="D461" s="61">
        <v>50</v>
      </c>
      <c r="E461" s="242">
        <v>7630</v>
      </c>
      <c r="F461" s="187">
        <f t="shared" si="20"/>
        <v>381500</v>
      </c>
    </row>
    <row r="462" spans="1:11" ht="42.75" x14ac:dyDescent="0.25">
      <c r="A462" s="218">
        <f t="shared" si="19"/>
        <v>8</v>
      </c>
      <c r="B462" s="9" t="s">
        <v>27</v>
      </c>
      <c r="C462" s="119" t="s">
        <v>64</v>
      </c>
      <c r="D462" s="61">
        <v>5</v>
      </c>
      <c r="E462" s="242">
        <v>83312</v>
      </c>
      <c r="F462" s="187">
        <f t="shared" si="20"/>
        <v>416560</v>
      </c>
    </row>
    <row r="463" spans="1:11" x14ac:dyDescent="0.25">
      <c r="A463" s="218">
        <f t="shared" si="19"/>
        <v>9</v>
      </c>
      <c r="B463" s="188" t="s">
        <v>28</v>
      </c>
      <c r="C463" s="20"/>
      <c r="D463" s="20"/>
      <c r="E463" s="242">
        <v>0</v>
      </c>
      <c r="F463" s="187" t="s">
        <v>1</v>
      </c>
    </row>
    <row r="464" spans="1:11" x14ac:dyDescent="0.25">
      <c r="A464" s="218">
        <f t="shared" si="19"/>
        <v>10</v>
      </c>
      <c r="B464" s="17" t="s">
        <v>29</v>
      </c>
      <c r="C464" s="119" t="s">
        <v>64</v>
      </c>
      <c r="D464" s="61">
        <v>608</v>
      </c>
      <c r="E464" s="242">
        <v>26317</v>
      </c>
      <c r="F464" s="187">
        <f t="shared" si="20"/>
        <v>16000736</v>
      </c>
    </row>
    <row r="465" spans="1:6" x14ac:dyDescent="0.25">
      <c r="A465" s="218">
        <f t="shared" si="19"/>
        <v>11</v>
      </c>
      <c r="B465" s="17" t="s">
        <v>30</v>
      </c>
      <c r="C465" s="119" t="s">
        <v>64</v>
      </c>
      <c r="D465" s="61">
        <v>436</v>
      </c>
      <c r="E465" s="242">
        <v>30682</v>
      </c>
      <c r="F465" s="187">
        <f t="shared" si="20"/>
        <v>13377352</v>
      </c>
    </row>
    <row r="466" spans="1:6" x14ac:dyDescent="0.25">
      <c r="A466" s="218">
        <f t="shared" si="19"/>
        <v>12</v>
      </c>
      <c r="B466" s="17" t="s">
        <v>305</v>
      </c>
      <c r="C466" s="119" t="s">
        <v>20</v>
      </c>
      <c r="D466" s="61">
        <v>642</v>
      </c>
      <c r="E466" s="242">
        <v>40466</v>
      </c>
      <c r="F466" s="187">
        <f t="shared" si="20"/>
        <v>25979172</v>
      </c>
    </row>
    <row r="467" spans="1:6" ht="29.25" x14ac:dyDescent="0.25">
      <c r="A467" s="218">
        <f t="shared" si="19"/>
        <v>13</v>
      </c>
      <c r="B467" s="17" t="s">
        <v>32</v>
      </c>
      <c r="C467" s="119" t="s">
        <v>64</v>
      </c>
      <c r="D467" s="61">
        <v>147.58500000000004</v>
      </c>
      <c r="E467" s="242">
        <v>32749</v>
      </c>
      <c r="F467" s="187">
        <f t="shared" si="20"/>
        <v>4833261</v>
      </c>
    </row>
    <row r="468" spans="1:6" ht="30" x14ac:dyDescent="0.25">
      <c r="A468" s="218">
        <f t="shared" si="19"/>
        <v>14</v>
      </c>
      <c r="B468" s="188" t="s">
        <v>33</v>
      </c>
      <c r="C468" s="20"/>
      <c r="D468" s="20"/>
      <c r="E468" s="242">
        <v>0</v>
      </c>
      <c r="F468" s="187" t="s">
        <v>1</v>
      </c>
    </row>
    <row r="469" spans="1:6" ht="29.25" x14ac:dyDescent="0.25">
      <c r="A469" s="218">
        <f t="shared" si="19"/>
        <v>15</v>
      </c>
      <c r="B469" s="17" t="s">
        <v>280</v>
      </c>
      <c r="C469" s="119" t="s">
        <v>18</v>
      </c>
      <c r="D469" s="61">
        <v>169</v>
      </c>
      <c r="E469" s="242">
        <v>47064</v>
      </c>
      <c r="F469" s="187">
        <f t="shared" si="20"/>
        <v>7953816</v>
      </c>
    </row>
    <row r="470" spans="1:6" ht="57" x14ac:dyDescent="0.25">
      <c r="A470" s="218">
        <f t="shared" si="19"/>
        <v>16</v>
      </c>
      <c r="B470" s="57" t="s">
        <v>35</v>
      </c>
      <c r="C470" s="119" t="s">
        <v>18</v>
      </c>
      <c r="D470" s="61">
        <v>5</v>
      </c>
      <c r="E470" s="242">
        <v>637411</v>
      </c>
      <c r="F470" s="187">
        <f t="shared" si="20"/>
        <v>3187055</v>
      </c>
    </row>
    <row r="471" spans="1:6" ht="43.5" x14ac:dyDescent="0.25">
      <c r="A471" s="218">
        <f t="shared" si="19"/>
        <v>17</v>
      </c>
      <c r="B471" s="17" t="s">
        <v>36</v>
      </c>
      <c r="C471" s="119" t="s">
        <v>37</v>
      </c>
      <c r="D471" s="61">
        <v>1</v>
      </c>
      <c r="E471" s="242">
        <v>777600</v>
      </c>
      <c r="F471" s="187">
        <f t="shared" si="20"/>
        <v>777600</v>
      </c>
    </row>
    <row r="472" spans="1:6" x14ac:dyDescent="0.25">
      <c r="A472" s="218">
        <f t="shared" si="19"/>
        <v>18</v>
      </c>
      <c r="B472" s="55" t="s">
        <v>38</v>
      </c>
      <c r="C472" s="119" t="s">
        <v>37</v>
      </c>
      <c r="D472" s="61">
        <v>5</v>
      </c>
      <c r="E472" s="242">
        <v>540447</v>
      </c>
      <c r="F472" s="187">
        <f t="shared" si="20"/>
        <v>2702235</v>
      </c>
    </row>
    <row r="473" spans="1:6" ht="29.25" x14ac:dyDescent="0.25">
      <c r="A473" s="218">
        <f t="shared" si="19"/>
        <v>19</v>
      </c>
      <c r="B473" s="17" t="s">
        <v>39</v>
      </c>
      <c r="C473" s="119" t="s">
        <v>18</v>
      </c>
      <c r="D473" s="61">
        <v>120</v>
      </c>
      <c r="E473" s="242">
        <v>13802</v>
      </c>
      <c r="F473" s="187">
        <f t="shared" si="20"/>
        <v>1656240</v>
      </c>
    </row>
    <row r="474" spans="1:6" ht="43.5" x14ac:dyDescent="0.25">
      <c r="A474" s="218">
        <f t="shared" si="19"/>
        <v>20</v>
      </c>
      <c r="B474" s="17" t="s">
        <v>40</v>
      </c>
      <c r="C474" s="119" t="s">
        <v>23</v>
      </c>
      <c r="D474" s="61">
        <v>30</v>
      </c>
      <c r="E474" s="242">
        <v>399818</v>
      </c>
      <c r="F474" s="187">
        <f t="shared" si="20"/>
        <v>11994540</v>
      </c>
    </row>
    <row r="475" spans="1:6" x14ac:dyDescent="0.25">
      <c r="A475" s="218">
        <f t="shared" si="19"/>
        <v>21</v>
      </c>
      <c r="B475" s="17" t="s">
        <v>306</v>
      </c>
      <c r="C475" s="119" t="s">
        <v>23</v>
      </c>
      <c r="D475" s="61">
        <v>30</v>
      </c>
      <c r="E475" s="242">
        <v>43482</v>
      </c>
      <c r="F475" s="187">
        <f t="shared" si="20"/>
        <v>1304460</v>
      </c>
    </row>
    <row r="476" spans="1:6" x14ac:dyDescent="0.25">
      <c r="A476" s="218">
        <f t="shared" si="19"/>
        <v>22</v>
      </c>
      <c r="B476" s="55" t="s">
        <v>42</v>
      </c>
      <c r="C476" s="119" t="s">
        <v>23</v>
      </c>
      <c r="D476" s="61">
        <v>8</v>
      </c>
      <c r="E476" s="242">
        <v>90312</v>
      </c>
      <c r="F476" s="187">
        <f t="shared" si="20"/>
        <v>722496</v>
      </c>
    </row>
    <row r="477" spans="1:6" x14ac:dyDescent="0.25">
      <c r="A477" s="218">
        <f t="shared" si="19"/>
        <v>23</v>
      </c>
      <c r="B477" s="18" t="s">
        <v>43</v>
      </c>
      <c r="C477" s="20"/>
      <c r="D477" s="20"/>
      <c r="E477" s="242">
        <v>0</v>
      </c>
      <c r="F477" s="187" t="s">
        <v>1</v>
      </c>
    </row>
    <row r="478" spans="1:6" x14ac:dyDescent="0.25">
      <c r="A478" s="218">
        <f t="shared" si="19"/>
        <v>24</v>
      </c>
      <c r="B478" s="9" t="s">
        <v>44</v>
      </c>
      <c r="C478" s="119" t="s">
        <v>64</v>
      </c>
      <c r="D478" s="61">
        <v>48</v>
      </c>
      <c r="E478" s="242">
        <v>120657</v>
      </c>
      <c r="F478" s="187">
        <f t="shared" si="20"/>
        <v>5791536</v>
      </c>
    </row>
    <row r="479" spans="1:6" ht="29.25" x14ac:dyDescent="0.25">
      <c r="A479" s="218">
        <f t="shared" si="19"/>
        <v>25</v>
      </c>
      <c r="B479" s="17" t="s">
        <v>45</v>
      </c>
      <c r="C479" s="119" t="s">
        <v>64</v>
      </c>
      <c r="D479" s="61">
        <v>937</v>
      </c>
      <c r="E479" s="242">
        <v>22131</v>
      </c>
      <c r="F479" s="187">
        <f t="shared" si="20"/>
        <v>20736747</v>
      </c>
    </row>
    <row r="480" spans="1:6" x14ac:dyDescent="0.25">
      <c r="A480" s="218">
        <f t="shared" si="19"/>
        <v>26</v>
      </c>
      <c r="B480" s="55" t="s">
        <v>47</v>
      </c>
      <c r="C480" s="119" t="s">
        <v>64</v>
      </c>
      <c r="D480" s="61">
        <v>7</v>
      </c>
      <c r="E480" s="242">
        <v>85600</v>
      </c>
      <c r="F480" s="187">
        <f t="shared" si="20"/>
        <v>599200</v>
      </c>
    </row>
    <row r="481" spans="1:11" x14ac:dyDescent="0.25">
      <c r="A481" s="218">
        <f t="shared" si="19"/>
        <v>27</v>
      </c>
      <c r="B481" s="18" t="s">
        <v>48</v>
      </c>
      <c r="C481" s="20"/>
      <c r="D481" s="20"/>
      <c r="E481" s="242">
        <v>0</v>
      </c>
      <c r="F481" s="187" t="s">
        <v>1</v>
      </c>
    </row>
    <row r="482" spans="1:11" ht="29.25" x14ac:dyDescent="0.25">
      <c r="A482" s="218">
        <f t="shared" si="19"/>
        <v>28</v>
      </c>
      <c r="B482" s="17" t="s">
        <v>49</v>
      </c>
      <c r="C482" s="119" t="s">
        <v>64</v>
      </c>
      <c r="D482" s="61">
        <v>4</v>
      </c>
      <c r="E482" s="242">
        <v>605480</v>
      </c>
      <c r="F482" s="187">
        <f t="shared" si="20"/>
        <v>2421920</v>
      </c>
    </row>
    <row r="483" spans="1:11" ht="29.25" x14ac:dyDescent="0.25">
      <c r="A483" s="218">
        <f t="shared" si="19"/>
        <v>29</v>
      </c>
      <c r="B483" s="17" t="s">
        <v>1020</v>
      </c>
      <c r="C483" s="119" t="s">
        <v>64</v>
      </c>
      <c r="D483" s="61">
        <v>1</v>
      </c>
      <c r="E483" s="242">
        <v>822268</v>
      </c>
      <c r="F483" s="187">
        <f t="shared" si="20"/>
        <v>822268</v>
      </c>
    </row>
    <row r="484" spans="1:11" x14ac:dyDescent="0.25">
      <c r="A484" s="218">
        <f t="shared" si="19"/>
        <v>30</v>
      </c>
      <c r="B484" s="18" t="s">
        <v>51</v>
      </c>
      <c r="C484" s="20"/>
      <c r="D484" s="20"/>
      <c r="E484" s="242">
        <v>0</v>
      </c>
      <c r="F484" s="187" t="s">
        <v>1</v>
      </c>
    </row>
    <row r="485" spans="1:11" x14ac:dyDescent="0.25">
      <c r="A485" s="218">
        <f t="shared" si="19"/>
        <v>31</v>
      </c>
      <c r="B485" s="17" t="s">
        <v>52</v>
      </c>
      <c r="C485" s="119" t="s">
        <v>53</v>
      </c>
      <c r="D485" s="61">
        <v>60</v>
      </c>
      <c r="E485" s="242">
        <v>5922</v>
      </c>
      <c r="F485" s="187">
        <f t="shared" si="20"/>
        <v>355320</v>
      </c>
      <c r="K485" s="80"/>
    </row>
    <row r="486" spans="1:11" x14ac:dyDescent="0.25">
      <c r="A486" s="216"/>
      <c r="B486" s="18" t="s">
        <v>56</v>
      </c>
      <c r="C486" s="54"/>
      <c r="D486" s="130"/>
      <c r="E486" s="28"/>
      <c r="F486" s="79">
        <f>SUM(F456:F485)</f>
        <v>137297685</v>
      </c>
    </row>
    <row r="487" spans="1:11" x14ac:dyDescent="0.25">
      <c r="A487" s="19"/>
      <c r="B487" s="19" t="s">
        <v>60</v>
      </c>
      <c r="C487" s="19"/>
      <c r="D487" s="19"/>
      <c r="E487" s="19"/>
      <c r="F487" s="29">
        <f>ROUND(F486/1.3495,0)</f>
        <v>101739670</v>
      </c>
    </row>
    <row r="488" spans="1:11" x14ac:dyDescent="0.25">
      <c r="A488" s="19"/>
      <c r="B488" s="19" t="s">
        <v>61</v>
      </c>
      <c r="C488" s="131">
        <v>0.24</v>
      </c>
      <c r="D488" s="19"/>
      <c r="E488" s="19"/>
      <c r="F488" s="29">
        <f>ROUND(F487*C488,0)</f>
        <v>24417521</v>
      </c>
    </row>
    <row r="489" spans="1:11" x14ac:dyDescent="0.25">
      <c r="A489" s="19"/>
      <c r="B489" s="19" t="s">
        <v>57</v>
      </c>
      <c r="C489" s="131">
        <v>0.05</v>
      </c>
      <c r="D489" s="19"/>
      <c r="E489" s="19"/>
      <c r="F489" s="29">
        <f>ROUND(F487*C489,0)</f>
        <v>5086984</v>
      </c>
    </row>
    <row r="490" spans="1:11" x14ac:dyDescent="0.25">
      <c r="A490" s="19"/>
      <c r="B490" s="19" t="s">
        <v>62</v>
      </c>
      <c r="C490" s="131">
        <v>0.05</v>
      </c>
      <c r="D490" s="19"/>
      <c r="E490" s="19"/>
      <c r="F490" s="29">
        <f>ROUND(F487*C490,0)</f>
        <v>5086984</v>
      </c>
    </row>
    <row r="491" spans="1:11" x14ac:dyDescent="0.25">
      <c r="A491" s="19"/>
      <c r="B491" s="132" t="s">
        <v>63</v>
      </c>
      <c r="C491" s="133">
        <v>0.19</v>
      </c>
      <c r="D491" s="120"/>
      <c r="E491" s="120"/>
      <c r="F491" s="35">
        <f>ROUND(F490*19%,0)</f>
        <v>966527</v>
      </c>
    </row>
    <row r="492" spans="1:11" x14ac:dyDescent="0.25">
      <c r="A492" s="19"/>
      <c r="B492" s="18" t="s">
        <v>56</v>
      </c>
      <c r="C492" s="19"/>
      <c r="D492" s="19"/>
      <c r="E492" s="19"/>
      <c r="F492" s="30">
        <f>SUM(F487:F491)</f>
        <v>137297686</v>
      </c>
    </row>
    <row r="494" spans="1:11" x14ac:dyDescent="0.25">
      <c r="A494" s="422" t="s">
        <v>718</v>
      </c>
      <c r="B494" s="422"/>
      <c r="C494" s="422"/>
      <c r="D494" s="422"/>
      <c r="E494" s="422"/>
      <c r="F494" s="422"/>
    </row>
    <row r="495" spans="1:11" x14ac:dyDescent="0.25">
      <c r="A495" s="420" t="s">
        <v>10</v>
      </c>
      <c r="B495" s="420" t="s">
        <v>0</v>
      </c>
      <c r="C495" s="420" t="s">
        <v>11</v>
      </c>
      <c r="D495" s="420" t="s">
        <v>12</v>
      </c>
      <c r="E495" s="420"/>
      <c r="F495" s="420"/>
    </row>
    <row r="496" spans="1:11" x14ac:dyDescent="0.25">
      <c r="A496" s="420"/>
      <c r="B496" s="420"/>
      <c r="C496" s="420"/>
      <c r="D496" s="54" t="s">
        <v>13</v>
      </c>
      <c r="E496" s="54" t="s">
        <v>14</v>
      </c>
      <c r="F496" s="54" t="s">
        <v>15</v>
      </c>
    </row>
    <row r="497" spans="1:6" x14ac:dyDescent="0.25">
      <c r="A497" s="218">
        <f t="shared" ref="A497:A520" si="21">A496+1</f>
        <v>1</v>
      </c>
      <c r="B497" s="18" t="s">
        <v>16</v>
      </c>
      <c r="C497" s="420"/>
      <c r="D497" s="420"/>
      <c r="E497" s="420"/>
      <c r="F497" s="20"/>
    </row>
    <row r="498" spans="1:6" ht="29.25" x14ac:dyDescent="0.25">
      <c r="A498" s="218">
        <f t="shared" si="21"/>
        <v>2</v>
      </c>
      <c r="B498" s="17" t="s">
        <v>77</v>
      </c>
      <c r="C498" s="119" t="s">
        <v>18</v>
      </c>
      <c r="D498" s="61">
        <v>162</v>
      </c>
      <c r="E498" s="243">
        <v>5230</v>
      </c>
      <c r="F498" s="187">
        <f t="shared" ref="F498:F520" si="22">ROUND(D498*E498,0)</f>
        <v>847260</v>
      </c>
    </row>
    <row r="499" spans="1:6" x14ac:dyDescent="0.25">
      <c r="A499" s="218">
        <f>A498+1</f>
        <v>3</v>
      </c>
      <c r="B499" s="17" t="s">
        <v>22</v>
      </c>
      <c r="C499" s="119" t="s">
        <v>23</v>
      </c>
      <c r="D499" s="61">
        <v>3</v>
      </c>
      <c r="E499" s="243">
        <v>155814</v>
      </c>
      <c r="F499" s="187">
        <f t="shared" si="22"/>
        <v>467442</v>
      </c>
    </row>
    <row r="500" spans="1:6" x14ac:dyDescent="0.25">
      <c r="A500" s="218">
        <f t="shared" si="21"/>
        <v>4</v>
      </c>
      <c r="B500" s="18" t="s">
        <v>25</v>
      </c>
      <c r="C500" s="20"/>
      <c r="D500" s="20"/>
      <c r="E500" s="243"/>
      <c r="F500" s="187"/>
    </row>
    <row r="501" spans="1:6" x14ac:dyDescent="0.25">
      <c r="A501" s="218">
        <f t="shared" si="21"/>
        <v>5</v>
      </c>
      <c r="B501" s="56" t="s">
        <v>26</v>
      </c>
      <c r="C501" s="119" t="s">
        <v>18</v>
      </c>
      <c r="D501" s="61">
        <v>20</v>
      </c>
      <c r="E501" s="243">
        <v>7652</v>
      </c>
      <c r="F501" s="187">
        <f t="shared" si="22"/>
        <v>153040</v>
      </c>
    </row>
    <row r="502" spans="1:6" ht="42.75" x14ac:dyDescent="0.25">
      <c r="A502" s="218">
        <f t="shared" si="21"/>
        <v>6</v>
      </c>
      <c r="B502" s="9" t="s">
        <v>78</v>
      </c>
      <c r="C502" s="119" t="s">
        <v>64</v>
      </c>
      <c r="D502" s="61">
        <v>1</v>
      </c>
      <c r="E502" s="243">
        <v>83560</v>
      </c>
      <c r="F502" s="187">
        <f t="shared" si="22"/>
        <v>83560</v>
      </c>
    </row>
    <row r="503" spans="1:6" x14ac:dyDescent="0.25">
      <c r="A503" s="218">
        <f t="shared" si="21"/>
        <v>7</v>
      </c>
      <c r="B503" s="18" t="s">
        <v>28</v>
      </c>
      <c r="C503" s="20"/>
      <c r="D503" s="20"/>
      <c r="E503" s="243"/>
      <c r="F503" s="187"/>
    </row>
    <row r="504" spans="1:6" x14ac:dyDescent="0.25">
      <c r="A504" s="218">
        <f t="shared" si="21"/>
        <v>8</v>
      </c>
      <c r="B504" s="17" t="s">
        <v>79</v>
      </c>
      <c r="C504" s="119" t="s">
        <v>64</v>
      </c>
      <c r="D504" s="61">
        <v>54</v>
      </c>
      <c r="E504" s="243">
        <v>26395</v>
      </c>
      <c r="F504" s="187">
        <f t="shared" si="22"/>
        <v>1425330</v>
      </c>
    </row>
    <row r="505" spans="1:6" ht="29.25" x14ac:dyDescent="0.25">
      <c r="A505" s="218">
        <f t="shared" si="21"/>
        <v>9</v>
      </c>
      <c r="B505" s="17" t="s">
        <v>32</v>
      </c>
      <c r="C505" s="119" t="s">
        <v>64</v>
      </c>
      <c r="D505" s="61">
        <v>54</v>
      </c>
      <c r="E505" s="243">
        <v>32848</v>
      </c>
      <c r="F505" s="187">
        <f t="shared" si="22"/>
        <v>1773792</v>
      </c>
    </row>
    <row r="506" spans="1:6" x14ac:dyDescent="0.25">
      <c r="A506" s="218">
        <f t="shared" si="21"/>
        <v>10</v>
      </c>
      <c r="B506" s="188" t="s">
        <v>80</v>
      </c>
      <c r="C506" s="20"/>
      <c r="D506" s="20"/>
      <c r="E506" s="243"/>
      <c r="F506" s="187"/>
    </row>
    <row r="507" spans="1:6" x14ac:dyDescent="0.25">
      <c r="A507" s="218">
        <f t="shared" si="21"/>
        <v>11</v>
      </c>
      <c r="B507" s="17" t="s">
        <v>90</v>
      </c>
      <c r="C507" s="119" t="s">
        <v>18</v>
      </c>
      <c r="D507" s="61">
        <v>162</v>
      </c>
      <c r="E507" s="243">
        <f>1981*4</f>
        <v>7924</v>
      </c>
      <c r="F507" s="187">
        <f t="shared" si="22"/>
        <v>1283688</v>
      </c>
    </row>
    <row r="508" spans="1:6" ht="42.75" x14ac:dyDescent="0.25">
      <c r="A508" s="218">
        <f t="shared" si="21"/>
        <v>12</v>
      </c>
      <c r="B508" s="9" t="s">
        <v>82</v>
      </c>
      <c r="C508" s="119" t="s">
        <v>37</v>
      </c>
      <c r="D508" s="61">
        <v>40</v>
      </c>
      <c r="E508" s="243">
        <v>42039</v>
      </c>
      <c r="F508" s="187">
        <f t="shared" si="22"/>
        <v>1681560</v>
      </c>
    </row>
    <row r="509" spans="1:6" x14ac:dyDescent="0.25">
      <c r="A509" s="218">
        <f t="shared" si="21"/>
        <v>13</v>
      </c>
      <c r="B509" s="57" t="s">
        <v>83</v>
      </c>
      <c r="C509" s="119" t="s">
        <v>37</v>
      </c>
      <c r="D509" s="61">
        <v>6</v>
      </c>
      <c r="E509" s="243">
        <v>210191</v>
      </c>
      <c r="F509" s="187">
        <f t="shared" si="22"/>
        <v>1261146</v>
      </c>
    </row>
    <row r="510" spans="1:6" ht="43.5" x14ac:dyDescent="0.25">
      <c r="A510" s="218">
        <f t="shared" si="21"/>
        <v>14</v>
      </c>
      <c r="B510" s="17" t="s">
        <v>84</v>
      </c>
      <c r="C510" s="119" t="s">
        <v>37</v>
      </c>
      <c r="D510" s="61">
        <v>6</v>
      </c>
      <c r="E510" s="243">
        <v>345600</v>
      </c>
      <c r="F510" s="187">
        <f t="shared" si="22"/>
        <v>2073600</v>
      </c>
    </row>
    <row r="511" spans="1:6" x14ac:dyDescent="0.25">
      <c r="A511" s="218">
        <f t="shared" si="21"/>
        <v>15</v>
      </c>
      <c r="B511" s="17" t="s">
        <v>85</v>
      </c>
      <c r="C511" s="119" t="s">
        <v>23</v>
      </c>
      <c r="D511" s="61">
        <v>6</v>
      </c>
      <c r="E511" s="243">
        <v>90583</v>
      </c>
      <c r="F511" s="187">
        <f t="shared" si="22"/>
        <v>543498</v>
      </c>
    </row>
    <row r="512" spans="1:6" x14ac:dyDescent="0.25">
      <c r="A512" s="218">
        <f t="shared" si="21"/>
        <v>16</v>
      </c>
      <c r="B512" s="18" t="s">
        <v>43</v>
      </c>
      <c r="C512" s="20"/>
      <c r="D512" s="20"/>
      <c r="E512" s="243"/>
      <c r="F512" s="187"/>
    </row>
    <row r="513" spans="1:6" x14ac:dyDescent="0.25">
      <c r="A513" s="218">
        <f t="shared" si="21"/>
        <v>17</v>
      </c>
      <c r="B513" s="9" t="s">
        <v>44</v>
      </c>
      <c r="C513" s="119" t="s">
        <v>64</v>
      </c>
      <c r="D513" s="61">
        <v>12</v>
      </c>
      <c r="E513" s="243">
        <v>121019</v>
      </c>
      <c r="F513" s="187">
        <f t="shared" si="22"/>
        <v>1452228</v>
      </c>
    </row>
    <row r="514" spans="1:6" ht="29.25" x14ac:dyDescent="0.25">
      <c r="A514" s="218">
        <f t="shared" si="21"/>
        <v>18</v>
      </c>
      <c r="B514" s="17" t="s">
        <v>45</v>
      </c>
      <c r="C514" s="119" t="s">
        <v>64</v>
      </c>
      <c r="D514" s="61">
        <v>46</v>
      </c>
      <c r="E514" s="243">
        <v>22197</v>
      </c>
      <c r="F514" s="187">
        <f t="shared" si="22"/>
        <v>1021062</v>
      </c>
    </row>
    <row r="515" spans="1:6" x14ac:dyDescent="0.25">
      <c r="A515" s="218">
        <f t="shared" si="21"/>
        <v>19</v>
      </c>
      <c r="B515" s="55" t="s">
        <v>47</v>
      </c>
      <c r="C515" s="119" t="s">
        <v>64</v>
      </c>
      <c r="D515" s="61">
        <v>6</v>
      </c>
      <c r="E515" s="243">
        <v>85600</v>
      </c>
      <c r="F515" s="187">
        <f t="shared" si="22"/>
        <v>513600</v>
      </c>
    </row>
    <row r="516" spans="1:6" x14ac:dyDescent="0.25">
      <c r="A516" s="218">
        <f t="shared" si="21"/>
        <v>20</v>
      </c>
      <c r="B516" s="18" t="s">
        <v>48</v>
      </c>
      <c r="C516" s="20"/>
      <c r="D516" s="20"/>
      <c r="E516" s="243"/>
      <c r="F516" s="187"/>
    </row>
    <row r="517" spans="1:6" ht="29.25" x14ac:dyDescent="0.25">
      <c r="A517" s="218">
        <f t="shared" si="21"/>
        <v>21</v>
      </c>
      <c r="B517" s="17" t="s">
        <v>86</v>
      </c>
      <c r="C517" s="119" t="s">
        <v>64</v>
      </c>
      <c r="D517" s="61">
        <v>1</v>
      </c>
      <c r="E517" s="243">
        <v>607296</v>
      </c>
      <c r="F517" s="187">
        <f t="shared" si="22"/>
        <v>607296</v>
      </c>
    </row>
    <row r="518" spans="1:6" ht="29.25" x14ac:dyDescent="0.25">
      <c r="A518" s="218">
        <f t="shared" si="21"/>
        <v>22</v>
      </c>
      <c r="B518" s="17" t="s">
        <v>50</v>
      </c>
      <c r="C518" s="119" t="s">
        <v>64</v>
      </c>
      <c r="D518" s="61">
        <v>1</v>
      </c>
      <c r="E518" s="243">
        <v>824735</v>
      </c>
      <c r="F518" s="187">
        <f t="shared" si="22"/>
        <v>824735</v>
      </c>
    </row>
    <row r="519" spans="1:6" x14ac:dyDescent="0.25">
      <c r="A519" s="218">
        <f t="shared" si="21"/>
        <v>23</v>
      </c>
      <c r="B519" s="18" t="s">
        <v>51</v>
      </c>
      <c r="C519" s="20"/>
      <c r="D519" s="20"/>
      <c r="E519" s="243" t="s">
        <v>1</v>
      </c>
      <c r="F519" s="187" t="s">
        <v>1</v>
      </c>
    </row>
    <row r="520" spans="1:6" x14ac:dyDescent="0.25">
      <c r="A520" s="218">
        <f t="shared" si="21"/>
        <v>24</v>
      </c>
      <c r="B520" s="17" t="s">
        <v>88</v>
      </c>
      <c r="C520" s="119" t="s">
        <v>53</v>
      </c>
      <c r="D520" s="61">
        <v>63</v>
      </c>
      <c r="E520" s="243">
        <v>5922</v>
      </c>
      <c r="F520" s="187">
        <f t="shared" si="22"/>
        <v>373086</v>
      </c>
    </row>
    <row r="521" spans="1:6" x14ac:dyDescent="0.25">
      <c r="A521" s="216"/>
      <c r="B521" s="18" t="s">
        <v>56</v>
      </c>
      <c r="C521" s="54"/>
      <c r="D521" s="130"/>
      <c r="E521" s="28"/>
      <c r="F521" s="79">
        <f>SUM(F498:F520)</f>
        <v>16385923</v>
      </c>
    </row>
    <row r="522" spans="1:6" x14ac:dyDescent="0.25">
      <c r="A522" s="19"/>
      <c r="B522" s="19" t="s">
        <v>60</v>
      </c>
      <c r="C522" s="19"/>
      <c r="D522" s="19"/>
      <c r="E522" s="19"/>
      <c r="F522" s="29">
        <f>ROUND(F521/1.3495,0)</f>
        <v>12142218</v>
      </c>
    </row>
    <row r="523" spans="1:6" x14ac:dyDescent="0.25">
      <c r="A523" s="19"/>
      <c r="B523" s="19" t="s">
        <v>61</v>
      </c>
      <c r="C523" s="131">
        <v>0.24</v>
      </c>
      <c r="D523" s="19"/>
      <c r="E523" s="19"/>
      <c r="F523" s="29">
        <f>ROUND(F522*C523,0)</f>
        <v>2914132</v>
      </c>
    </row>
    <row r="524" spans="1:6" x14ac:dyDescent="0.25">
      <c r="A524" s="19"/>
      <c r="B524" s="19" t="s">
        <v>57</v>
      </c>
      <c r="C524" s="131">
        <v>0.05</v>
      </c>
      <c r="D524" s="19"/>
      <c r="E524" s="19"/>
      <c r="F524" s="29">
        <f>ROUND(F522*C524,0)</f>
        <v>607111</v>
      </c>
    </row>
    <row r="525" spans="1:6" x14ac:dyDescent="0.25">
      <c r="A525" s="19"/>
      <c r="B525" s="19" t="s">
        <v>62</v>
      </c>
      <c r="C525" s="131">
        <v>0.05</v>
      </c>
      <c r="D525" s="19"/>
      <c r="E525" s="19"/>
      <c r="F525" s="29">
        <f>ROUND(F522*C525,0)</f>
        <v>607111</v>
      </c>
    </row>
    <row r="526" spans="1:6" x14ac:dyDescent="0.25">
      <c r="A526" s="19"/>
      <c r="B526" s="132" t="s">
        <v>63</v>
      </c>
      <c r="C526" s="133">
        <v>0.19</v>
      </c>
      <c r="D526" s="120"/>
      <c r="E526" s="120"/>
      <c r="F526" s="35">
        <f>ROUND(F525*19%,0)</f>
        <v>115351</v>
      </c>
    </row>
    <row r="527" spans="1:6" x14ac:dyDescent="0.25">
      <c r="A527" s="19"/>
      <c r="B527" s="18" t="s">
        <v>56</v>
      </c>
      <c r="C527" s="19"/>
      <c r="D527" s="19"/>
      <c r="E527" s="19"/>
      <c r="F527" s="30">
        <f>SUM(F522:F526)</f>
        <v>16385923</v>
      </c>
    </row>
    <row r="530" spans="1:6" x14ac:dyDescent="0.25">
      <c r="A530" s="438" t="s">
        <v>853</v>
      </c>
      <c r="B530" s="438"/>
      <c r="C530" s="438"/>
      <c r="D530" s="438"/>
      <c r="E530" s="438"/>
      <c r="F530" s="438"/>
    </row>
    <row r="531" spans="1:6" x14ac:dyDescent="0.25">
      <c r="A531" s="54" t="s">
        <v>421</v>
      </c>
      <c r="B531" s="54" t="s">
        <v>422</v>
      </c>
      <c r="C531" s="54" t="s">
        <v>423</v>
      </c>
      <c r="D531" s="54" t="s">
        <v>13</v>
      </c>
      <c r="E531" s="54" t="s">
        <v>424</v>
      </c>
      <c r="F531" s="54" t="s">
        <v>425</v>
      </c>
    </row>
    <row r="532" spans="1:6" x14ac:dyDescent="0.25">
      <c r="A532" s="218">
        <v>1</v>
      </c>
      <c r="B532" s="11" t="s">
        <v>16</v>
      </c>
      <c r="C532" s="119"/>
      <c r="D532" s="177"/>
      <c r="E532" s="178"/>
      <c r="F532" s="178"/>
    </row>
    <row r="533" spans="1:6" x14ac:dyDescent="0.25">
      <c r="A533" s="218">
        <f t="shared" ref="A533:A547" si="23">A532+1</f>
        <v>2</v>
      </c>
      <c r="B533" s="13" t="s">
        <v>434</v>
      </c>
      <c r="C533" s="119" t="s">
        <v>18</v>
      </c>
      <c r="D533" s="177">
        <f>21.7+17.1+22+18.2+28+16.4+30+6.6+4</f>
        <v>164</v>
      </c>
      <c r="E533" s="278">
        <v>5737</v>
      </c>
      <c r="F533" s="278">
        <f>ROUND(D533*E533,0)</f>
        <v>940868</v>
      </c>
    </row>
    <row r="534" spans="1:6" ht="29.25" x14ac:dyDescent="0.25">
      <c r="A534" s="218">
        <f t="shared" si="23"/>
        <v>3</v>
      </c>
      <c r="B534" s="13" t="s">
        <v>435</v>
      </c>
      <c r="C534" s="119" t="s">
        <v>403</v>
      </c>
      <c r="D534" s="177">
        <v>2</v>
      </c>
      <c r="E534" s="278">
        <v>406010</v>
      </c>
      <c r="F534" s="278">
        <f>ROUND(D534*E534,0)</f>
        <v>812020</v>
      </c>
    </row>
    <row r="535" spans="1:6" ht="57.75" x14ac:dyDescent="0.25">
      <c r="A535" s="218">
        <f t="shared" si="23"/>
        <v>4</v>
      </c>
      <c r="B535" s="13" t="s">
        <v>436</v>
      </c>
      <c r="C535" s="119" t="s">
        <v>341</v>
      </c>
      <c r="D535" s="177">
        <f>164+16</f>
        <v>180</v>
      </c>
      <c r="E535" s="278">
        <v>9824</v>
      </c>
      <c r="F535" s="278">
        <f>ROUND(D535*E535,0)</f>
        <v>1768320</v>
      </c>
    </row>
    <row r="536" spans="1:6" ht="43.5" x14ac:dyDescent="0.25">
      <c r="A536" s="218">
        <f t="shared" si="23"/>
        <v>5</v>
      </c>
      <c r="B536" s="17" t="s">
        <v>437</v>
      </c>
      <c r="C536" s="119" t="s">
        <v>18</v>
      </c>
      <c r="D536" s="177">
        <f>164+8</f>
        <v>172</v>
      </c>
      <c r="E536" s="278">
        <v>7737</v>
      </c>
      <c r="F536" s="278">
        <f>ROUND(D536*E536,0)</f>
        <v>1330764</v>
      </c>
    </row>
    <row r="537" spans="1:6" x14ac:dyDescent="0.25">
      <c r="A537" s="218">
        <f t="shared" si="23"/>
        <v>6</v>
      </c>
      <c r="B537" s="11" t="s">
        <v>347</v>
      </c>
      <c r="C537" s="119"/>
      <c r="D537" s="177"/>
      <c r="E537" s="278"/>
      <c r="F537" s="278"/>
    </row>
    <row r="538" spans="1:6" x14ac:dyDescent="0.25">
      <c r="A538" s="218">
        <f t="shared" si="23"/>
        <v>7</v>
      </c>
      <c r="B538" s="19" t="s">
        <v>719</v>
      </c>
      <c r="C538" s="119" t="s">
        <v>115</v>
      </c>
      <c r="D538" s="177">
        <v>3</v>
      </c>
      <c r="E538" s="278">
        <v>129753</v>
      </c>
      <c r="F538" s="278">
        <f>ROUND(D538*E538,0)</f>
        <v>389259</v>
      </c>
    </row>
    <row r="539" spans="1:6" x14ac:dyDescent="0.25">
      <c r="A539" s="218">
        <f t="shared" si="23"/>
        <v>8</v>
      </c>
      <c r="B539" s="19" t="s">
        <v>356</v>
      </c>
      <c r="C539" s="119"/>
      <c r="D539" s="177"/>
      <c r="E539" s="278">
        <v>0</v>
      </c>
      <c r="F539" s="278">
        <f>ROUND(D539*E539,0)</f>
        <v>0</v>
      </c>
    </row>
    <row r="540" spans="1:6" x14ac:dyDescent="0.25">
      <c r="A540" s="218">
        <f t="shared" si="23"/>
        <v>9</v>
      </c>
      <c r="B540" s="13" t="s">
        <v>439</v>
      </c>
      <c r="C540" s="119" t="s">
        <v>115</v>
      </c>
      <c r="D540" s="177">
        <v>40</v>
      </c>
      <c r="E540" s="278">
        <v>27060</v>
      </c>
      <c r="F540" s="278">
        <f>ROUND(D540*E540,0)</f>
        <v>1082400</v>
      </c>
    </row>
    <row r="541" spans="1:6" ht="29.25" x14ac:dyDescent="0.25">
      <c r="A541" s="218">
        <f t="shared" si="23"/>
        <v>10</v>
      </c>
      <c r="B541" s="13" t="s">
        <v>355</v>
      </c>
      <c r="C541" s="119" t="s">
        <v>115</v>
      </c>
      <c r="D541" s="177">
        <v>50</v>
      </c>
      <c r="E541" s="278">
        <v>33953</v>
      </c>
      <c r="F541" s="278">
        <f>ROUND(D541*E541,0)</f>
        <v>1697650</v>
      </c>
    </row>
    <row r="542" spans="1:6" x14ac:dyDescent="0.25">
      <c r="A542" s="218">
        <f t="shared" si="23"/>
        <v>11</v>
      </c>
      <c r="B542" s="179" t="s">
        <v>440</v>
      </c>
      <c r="C542" s="119"/>
      <c r="D542" s="177"/>
      <c r="E542" s="278"/>
      <c r="F542" s="278"/>
    </row>
    <row r="543" spans="1:6" ht="129" x14ac:dyDescent="0.25">
      <c r="A543" s="218">
        <f t="shared" si="23"/>
        <v>12</v>
      </c>
      <c r="B543" s="13" t="s">
        <v>720</v>
      </c>
      <c r="C543" s="119" t="s">
        <v>18</v>
      </c>
      <c r="D543" s="177">
        <v>164</v>
      </c>
      <c r="E543" s="278">
        <v>290221</v>
      </c>
      <c r="F543" s="278">
        <f>ROUND(D543*E543,0)</f>
        <v>47596244</v>
      </c>
    </row>
    <row r="544" spans="1:6" ht="100.5" x14ac:dyDescent="0.25">
      <c r="A544" s="218">
        <f t="shared" si="23"/>
        <v>13</v>
      </c>
      <c r="B544" s="13" t="s">
        <v>721</v>
      </c>
      <c r="C544" s="119" t="s">
        <v>18</v>
      </c>
      <c r="D544" s="177">
        <v>172</v>
      </c>
      <c r="E544" s="278">
        <v>26934</v>
      </c>
      <c r="F544" s="278">
        <f>ROUND(D544*E544,0)</f>
        <v>4632648</v>
      </c>
    </row>
    <row r="545" spans="1:13" ht="157.5" x14ac:dyDescent="0.25">
      <c r="A545" s="218">
        <f t="shared" si="23"/>
        <v>14</v>
      </c>
      <c r="B545" s="13" t="s">
        <v>722</v>
      </c>
      <c r="C545" s="119" t="s">
        <v>20</v>
      </c>
      <c r="D545" s="177">
        <v>14.05</v>
      </c>
      <c r="E545" s="278">
        <v>485414</v>
      </c>
      <c r="F545" s="278">
        <f>ROUND(D545*E545,0)</f>
        <v>6820067</v>
      </c>
    </row>
    <row r="546" spans="1:13" ht="72" x14ac:dyDescent="0.25">
      <c r="A546" s="218">
        <f t="shared" si="23"/>
        <v>15</v>
      </c>
      <c r="B546" s="13" t="s">
        <v>444</v>
      </c>
      <c r="C546" s="119" t="s">
        <v>20</v>
      </c>
      <c r="D546" s="177">
        <f>164*2.5</f>
        <v>410</v>
      </c>
      <c r="E546" s="278">
        <v>19630</v>
      </c>
      <c r="F546" s="278">
        <f>ROUND(D546*E546,0)</f>
        <v>8048300</v>
      </c>
    </row>
    <row r="547" spans="1:13" ht="86.25" x14ac:dyDescent="0.25">
      <c r="A547" s="218">
        <f t="shared" si="23"/>
        <v>16</v>
      </c>
      <c r="B547" s="13" t="s">
        <v>723</v>
      </c>
      <c r="C547" s="119" t="s">
        <v>20</v>
      </c>
      <c r="D547" s="177">
        <v>7.78</v>
      </c>
      <c r="E547" s="278">
        <v>295150</v>
      </c>
      <c r="F547" s="278">
        <f>ROUND(D547*E547,0)</f>
        <v>2296267</v>
      </c>
    </row>
    <row r="548" spans="1:13" x14ac:dyDescent="0.25">
      <c r="A548" s="216"/>
      <c r="B548" s="18" t="s">
        <v>56</v>
      </c>
      <c r="C548" s="54"/>
      <c r="D548" s="130"/>
      <c r="E548" s="28"/>
      <c r="F548" s="79">
        <f>SUM(F532:F547)</f>
        <v>77414807</v>
      </c>
    </row>
    <row r="549" spans="1:13" x14ac:dyDescent="0.25">
      <c r="A549" s="19"/>
      <c r="B549" s="19" t="s">
        <v>60</v>
      </c>
      <c r="C549" s="19"/>
      <c r="D549" s="19"/>
      <c r="E549" s="19"/>
      <c r="F549" s="29">
        <f>ROUND(F548/1.3495,0)</f>
        <v>57365548</v>
      </c>
    </row>
    <row r="550" spans="1:13" x14ac:dyDescent="0.25">
      <c r="A550" s="19"/>
      <c r="B550" s="19" t="s">
        <v>61</v>
      </c>
      <c r="C550" s="131">
        <v>0.24</v>
      </c>
      <c r="D550" s="19"/>
      <c r="E550" s="19"/>
      <c r="F550" s="29">
        <f>ROUND(F549*C550,0)</f>
        <v>13767732</v>
      </c>
    </row>
    <row r="551" spans="1:13" x14ac:dyDescent="0.25">
      <c r="A551" s="19"/>
      <c r="B551" s="19" t="s">
        <v>57</v>
      </c>
      <c r="C551" s="131">
        <v>0.05</v>
      </c>
      <c r="D551" s="19"/>
      <c r="E551" s="19"/>
      <c r="F551" s="29">
        <f>ROUND(F549*C551,0)</f>
        <v>2868277</v>
      </c>
    </row>
    <row r="552" spans="1:13" x14ac:dyDescent="0.25">
      <c r="A552" s="19"/>
      <c r="B552" s="19" t="s">
        <v>62</v>
      </c>
      <c r="C552" s="131">
        <v>0.05</v>
      </c>
      <c r="D552" s="19"/>
      <c r="E552" s="19"/>
      <c r="F552" s="29">
        <f>ROUND(F549*C552,0)</f>
        <v>2868277</v>
      </c>
    </row>
    <row r="553" spans="1:13" x14ac:dyDescent="0.25">
      <c r="A553" s="19"/>
      <c r="B553" s="132" t="s">
        <v>63</v>
      </c>
      <c r="C553" s="133">
        <v>0.19</v>
      </c>
      <c r="D553" s="120"/>
      <c r="E553" s="120"/>
      <c r="F553" s="35">
        <f>ROUND(F552*19%,0)</f>
        <v>544973</v>
      </c>
    </row>
    <row r="554" spans="1:13" x14ac:dyDescent="0.25">
      <c r="A554" s="19"/>
      <c r="B554" s="18" t="s">
        <v>56</v>
      </c>
      <c r="C554" s="19"/>
      <c r="D554" s="19"/>
      <c r="E554" s="19"/>
      <c r="F554" s="30">
        <f>SUM(F549:F553)</f>
        <v>77414807</v>
      </c>
    </row>
    <row r="555" spans="1:13" x14ac:dyDescent="0.25">
      <c r="B555" s="282"/>
      <c r="F555" s="137"/>
    </row>
    <row r="556" spans="1:13" x14ac:dyDescent="0.25">
      <c r="B556" s="282"/>
      <c r="F556" s="137"/>
    </row>
    <row r="557" spans="1:13" x14ac:dyDescent="0.25">
      <c r="B557" s="282" t="s">
        <v>822</v>
      </c>
      <c r="F557" s="137">
        <f>F548+F521+F486</f>
        <v>231098415</v>
      </c>
      <c r="H557" s="80"/>
      <c r="K557" s="182"/>
      <c r="L557" s="135"/>
      <c r="M557" s="183">
        <f>K557-L557</f>
        <v>0</v>
      </c>
    </row>
    <row r="558" spans="1:13" x14ac:dyDescent="0.25">
      <c r="B558" s="282"/>
      <c r="F558" s="137"/>
      <c r="H558" s="83"/>
      <c r="K558" s="83"/>
    </row>
    <row r="559" spans="1:13" x14ac:dyDescent="0.25">
      <c r="B559" s="282"/>
      <c r="F559" s="137"/>
      <c r="I559" s="83"/>
      <c r="K559" s="83"/>
      <c r="L559" s="83"/>
      <c r="M559" s="183">
        <f>K559-L559</f>
        <v>0</v>
      </c>
    </row>
    <row r="560" spans="1:13" ht="45" x14ac:dyDescent="0.25">
      <c r="B560" s="287" t="s">
        <v>823</v>
      </c>
      <c r="F560" s="288">
        <f>F557+F447+F285+F134</f>
        <v>1099036622.5</v>
      </c>
      <c r="H560" s="83"/>
      <c r="J560" s="83"/>
    </row>
    <row r="561" spans="2:6" x14ac:dyDescent="0.25">
      <c r="B561" s="282"/>
      <c r="F561" s="137"/>
    </row>
    <row r="562" spans="2:6" x14ac:dyDescent="0.25">
      <c r="B562" s="282"/>
      <c r="F562" s="137"/>
    </row>
    <row r="563" spans="2:6" x14ac:dyDescent="0.25">
      <c r="B563" s="282"/>
      <c r="F563" s="137"/>
    </row>
    <row r="564" spans="2:6" x14ac:dyDescent="0.25">
      <c r="B564" s="282"/>
      <c r="F564" s="137"/>
    </row>
    <row r="565" spans="2:6" x14ac:dyDescent="0.25">
      <c r="B565" s="282"/>
      <c r="F565" s="137"/>
    </row>
    <row r="566" spans="2:6" x14ac:dyDescent="0.25">
      <c r="B566" s="282"/>
      <c r="F566" s="137"/>
    </row>
    <row r="567" spans="2:6" x14ac:dyDescent="0.25">
      <c r="B567" s="282"/>
      <c r="F567" s="137"/>
    </row>
    <row r="568" spans="2:6" x14ac:dyDescent="0.25">
      <c r="B568" s="282"/>
      <c r="F568" s="137"/>
    </row>
    <row r="569" spans="2:6" x14ac:dyDescent="0.25">
      <c r="B569" s="282"/>
      <c r="F569" s="137"/>
    </row>
    <row r="570" spans="2:6" x14ac:dyDescent="0.25">
      <c r="B570" s="282"/>
      <c r="F570" s="137"/>
    </row>
    <row r="571" spans="2:6" x14ac:dyDescent="0.25">
      <c r="B571" s="282"/>
      <c r="F571" s="137"/>
    </row>
    <row r="572" spans="2:6" x14ac:dyDescent="0.25">
      <c r="B572" s="282"/>
      <c r="F572" s="137"/>
    </row>
    <row r="573" spans="2:6" x14ac:dyDescent="0.25">
      <c r="B573" s="282"/>
      <c r="F573" s="137"/>
    </row>
    <row r="574" spans="2:6" x14ac:dyDescent="0.25">
      <c r="B574" s="282"/>
      <c r="F574" s="137"/>
    </row>
    <row r="575" spans="2:6" x14ac:dyDescent="0.25">
      <c r="B575" s="282"/>
      <c r="F575" s="137"/>
    </row>
    <row r="576" spans="2:6" x14ac:dyDescent="0.25">
      <c r="B576" s="282"/>
      <c r="F576" s="137"/>
    </row>
    <row r="577" spans="2:6" x14ac:dyDescent="0.25">
      <c r="B577" s="282"/>
      <c r="F577" s="137"/>
    </row>
    <row r="578" spans="2:6" x14ac:dyDescent="0.25">
      <c r="B578" s="282"/>
      <c r="F578" s="137"/>
    </row>
    <row r="579" spans="2:6" x14ac:dyDescent="0.25">
      <c r="B579" s="282"/>
      <c r="F579" s="137"/>
    </row>
    <row r="580" spans="2:6" x14ac:dyDescent="0.25">
      <c r="B580" s="282"/>
      <c r="F580" s="137"/>
    </row>
    <row r="581" spans="2:6" x14ac:dyDescent="0.25">
      <c r="B581" s="282"/>
      <c r="F581" s="137"/>
    </row>
    <row r="582" spans="2:6" x14ac:dyDescent="0.25">
      <c r="B582" s="282"/>
      <c r="F582" s="137"/>
    </row>
    <row r="583" spans="2:6" x14ac:dyDescent="0.25">
      <c r="B583" s="282"/>
      <c r="F583" s="137"/>
    </row>
    <row r="584" spans="2:6" x14ac:dyDescent="0.25">
      <c r="B584" s="282"/>
      <c r="F584" s="137"/>
    </row>
    <row r="585" spans="2:6" x14ac:dyDescent="0.25">
      <c r="B585" s="282"/>
      <c r="F585" s="137"/>
    </row>
    <row r="586" spans="2:6" x14ac:dyDescent="0.25">
      <c r="B586" s="282"/>
      <c r="F586" s="137"/>
    </row>
    <row r="587" spans="2:6" x14ac:dyDescent="0.25">
      <c r="B587" s="282"/>
      <c r="F587" s="137"/>
    </row>
    <row r="588" spans="2:6" x14ac:dyDescent="0.25">
      <c r="B588" s="282"/>
      <c r="F588" s="137"/>
    </row>
    <row r="589" spans="2:6" x14ac:dyDescent="0.25">
      <c r="B589" s="282"/>
      <c r="F589" s="137"/>
    </row>
    <row r="590" spans="2:6" x14ac:dyDescent="0.25">
      <c r="B590" s="282"/>
      <c r="F590" s="137"/>
    </row>
    <row r="591" spans="2:6" x14ac:dyDescent="0.25">
      <c r="B591" s="282"/>
      <c r="F591" s="137"/>
    </row>
    <row r="592" spans="2:6" x14ac:dyDescent="0.25">
      <c r="B592" s="282"/>
      <c r="F592" s="137"/>
    </row>
    <row r="593" spans="2:6" x14ac:dyDescent="0.25">
      <c r="B593" s="282"/>
      <c r="F593" s="137"/>
    </row>
    <row r="594" spans="2:6" x14ac:dyDescent="0.25">
      <c r="B594" s="282"/>
      <c r="F594" s="137"/>
    </row>
    <row r="595" spans="2:6" x14ac:dyDescent="0.25">
      <c r="B595" s="282"/>
      <c r="F595" s="137"/>
    </row>
    <row r="596" spans="2:6" x14ac:dyDescent="0.25">
      <c r="B596" s="282"/>
      <c r="F596" s="137"/>
    </row>
    <row r="597" spans="2:6" x14ac:dyDescent="0.25">
      <c r="B597" s="282"/>
      <c r="F597" s="137"/>
    </row>
    <row r="598" spans="2:6" x14ac:dyDescent="0.25">
      <c r="B598" s="282"/>
      <c r="F598" s="137"/>
    </row>
    <row r="599" spans="2:6" x14ac:dyDescent="0.25">
      <c r="B599" s="282"/>
      <c r="F599" s="137"/>
    </row>
    <row r="600" spans="2:6" x14ac:dyDescent="0.25">
      <c r="B600" s="282"/>
      <c r="F600" s="137"/>
    </row>
    <row r="601" spans="2:6" x14ac:dyDescent="0.25">
      <c r="B601" s="282"/>
      <c r="F601" s="137"/>
    </row>
    <row r="602" spans="2:6" x14ac:dyDescent="0.25">
      <c r="B602" s="282"/>
      <c r="F602" s="137"/>
    </row>
    <row r="603" spans="2:6" x14ac:dyDescent="0.25">
      <c r="B603" s="282"/>
      <c r="F603" s="137"/>
    </row>
    <row r="604" spans="2:6" x14ac:dyDescent="0.25">
      <c r="B604" s="282"/>
      <c r="F604" s="137"/>
    </row>
    <row r="605" spans="2:6" x14ac:dyDescent="0.25">
      <c r="B605" s="282"/>
      <c r="F605" s="137"/>
    </row>
    <row r="606" spans="2:6" x14ac:dyDescent="0.25">
      <c r="B606" s="282"/>
      <c r="F606" s="137"/>
    </row>
    <row r="607" spans="2:6" x14ac:dyDescent="0.25">
      <c r="B607" s="282"/>
      <c r="F607" s="137"/>
    </row>
    <row r="608" spans="2:6" x14ac:dyDescent="0.25">
      <c r="B608" s="282"/>
      <c r="F608" s="137"/>
    </row>
    <row r="609" spans="2:6" x14ac:dyDescent="0.25">
      <c r="B609" s="282"/>
      <c r="F609" s="137"/>
    </row>
    <row r="610" spans="2:6" x14ac:dyDescent="0.25">
      <c r="B610" s="282"/>
      <c r="F610" s="137"/>
    </row>
    <row r="611" spans="2:6" x14ac:dyDescent="0.25">
      <c r="B611" s="282"/>
      <c r="F611" s="137"/>
    </row>
    <row r="612" spans="2:6" x14ac:dyDescent="0.25">
      <c r="B612" s="282"/>
      <c r="F612" s="137"/>
    </row>
    <row r="613" spans="2:6" x14ac:dyDescent="0.25">
      <c r="B613" s="282"/>
      <c r="F613" s="137"/>
    </row>
    <row r="614" spans="2:6" x14ac:dyDescent="0.25">
      <c r="B614" s="282"/>
      <c r="F614" s="137"/>
    </row>
    <row r="615" spans="2:6" x14ac:dyDescent="0.25">
      <c r="B615" s="282"/>
      <c r="F615" s="137"/>
    </row>
    <row r="616" spans="2:6" x14ac:dyDescent="0.25">
      <c r="B616" s="282"/>
      <c r="F616" s="137"/>
    </row>
    <row r="617" spans="2:6" x14ac:dyDescent="0.25">
      <c r="B617" s="282"/>
      <c r="F617" s="137"/>
    </row>
    <row r="618" spans="2:6" x14ac:dyDescent="0.25">
      <c r="B618" s="282"/>
      <c r="F618" s="137"/>
    </row>
    <row r="619" spans="2:6" x14ac:dyDescent="0.25">
      <c r="B619" s="282"/>
      <c r="F619" s="137"/>
    </row>
    <row r="620" spans="2:6" x14ac:dyDescent="0.25">
      <c r="B620" s="282"/>
      <c r="F620" s="137"/>
    </row>
    <row r="621" spans="2:6" x14ac:dyDescent="0.25">
      <c r="B621" s="282"/>
      <c r="F621" s="137"/>
    </row>
    <row r="622" spans="2:6" x14ac:dyDescent="0.25">
      <c r="B622" s="282"/>
      <c r="F622" s="137"/>
    </row>
    <row r="623" spans="2:6" x14ac:dyDescent="0.25">
      <c r="B623" s="282"/>
      <c r="F623" s="137"/>
    </row>
    <row r="624" spans="2:6" x14ac:dyDescent="0.25">
      <c r="B624" s="282"/>
      <c r="F624" s="137"/>
    </row>
    <row r="625" spans="2:6" x14ac:dyDescent="0.25">
      <c r="B625" s="282"/>
      <c r="F625" s="137"/>
    </row>
    <row r="626" spans="2:6" x14ac:dyDescent="0.25">
      <c r="B626" s="282"/>
      <c r="F626" s="137"/>
    </row>
    <row r="627" spans="2:6" x14ac:dyDescent="0.25">
      <c r="B627" s="282"/>
      <c r="F627" s="137"/>
    </row>
    <row r="628" spans="2:6" x14ac:dyDescent="0.25">
      <c r="B628" s="282"/>
      <c r="F628" s="137"/>
    </row>
    <row r="629" spans="2:6" x14ac:dyDescent="0.25">
      <c r="B629" s="282"/>
      <c r="F629" s="137"/>
    </row>
    <row r="630" spans="2:6" x14ac:dyDescent="0.25">
      <c r="B630" s="282"/>
      <c r="F630" s="137"/>
    </row>
    <row r="631" spans="2:6" x14ac:dyDescent="0.25">
      <c r="B631" s="282"/>
      <c r="F631" s="137"/>
    </row>
    <row r="632" spans="2:6" x14ac:dyDescent="0.25">
      <c r="B632" s="282"/>
      <c r="F632" s="137"/>
    </row>
    <row r="633" spans="2:6" x14ac:dyDescent="0.25">
      <c r="B633" s="282"/>
      <c r="F633" s="137"/>
    </row>
    <row r="634" spans="2:6" x14ac:dyDescent="0.25">
      <c r="B634" s="282"/>
      <c r="F634" s="137"/>
    </row>
    <row r="635" spans="2:6" x14ac:dyDescent="0.25">
      <c r="B635" s="282"/>
      <c r="F635" s="137"/>
    </row>
    <row r="636" spans="2:6" x14ac:dyDescent="0.25">
      <c r="B636" s="282"/>
      <c r="F636" s="137"/>
    </row>
    <row r="637" spans="2:6" x14ac:dyDescent="0.25">
      <c r="B637" s="282"/>
      <c r="F637" s="137"/>
    </row>
    <row r="638" spans="2:6" x14ac:dyDescent="0.25">
      <c r="B638" s="282"/>
      <c r="F638" s="137"/>
    </row>
    <row r="639" spans="2:6" x14ac:dyDescent="0.25">
      <c r="B639" s="282"/>
      <c r="F639" s="137"/>
    </row>
    <row r="640" spans="2:6" x14ac:dyDescent="0.25">
      <c r="B640" s="282"/>
      <c r="F640" s="137"/>
    </row>
    <row r="641" spans="2:6" x14ac:dyDescent="0.25">
      <c r="B641" s="282"/>
      <c r="F641" s="137"/>
    </row>
    <row r="642" spans="2:6" x14ac:dyDescent="0.25">
      <c r="B642" s="282"/>
      <c r="F642" s="137"/>
    </row>
    <row r="643" spans="2:6" x14ac:dyDescent="0.25">
      <c r="B643" s="282"/>
      <c r="F643" s="137"/>
    </row>
    <row r="644" spans="2:6" x14ac:dyDescent="0.25">
      <c r="B644" s="282"/>
      <c r="F644" s="137"/>
    </row>
    <row r="645" spans="2:6" x14ac:dyDescent="0.25">
      <c r="B645" s="282"/>
      <c r="F645" s="137"/>
    </row>
    <row r="646" spans="2:6" x14ac:dyDescent="0.25">
      <c r="B646" s="282"/>
      <c r="F646" s="137"/>
    </row>
    <row r="647" spans="2:6" x14ac:dyDescent="0.25">
      <c r="B647" s="282"/>
      <c r="F647" s="137"/>
    </row>
    <row r="648" spans="2:6" x14ac:dyDescent="0.25">
      <c r="B648" s="282"/>
      <c r="F648" s="137"/>
    </row>
    <row r="649" spans="2:6" x14ac:dyDescent="0.25">
      <c r="B649" s="282"/>
      <c r="F649" s="137"/>
    </row>
    <row r="650" spans="2:6" x14ac:dyDescent="0.25">
      <c r="B650" s="282"/>
      <c r="F650" s="137"/>
    </row>
    <row r="651" spans="2:6" x14ac:dyDescent="0.25">
      <c r="B651" s="282"/>
      <c r="F651" s="137"/>
    </row>
    <row r="652" spans="2:6" x14ac:dyDescent="0.25">
      <c r="B652" s="282"/>
      <c r="F652" s="137"/>
    </row>
    <row r="653" spans="2:6" x14ac:dyDescent="0.25">
      <c r="B653" s="282"/>
      <c r="F653" s="137"/>
    </row>
    <row r="654" spans="2:6" x14ac:dyDescent="0.25">
      <c r="B654" s="282"/>
      <c r="F654" s="137"/>
    </row>
    <row r="655" spans="2:6" x14ac:dyDescent="0.25">
      <c r="B655" s="282"/>
      <c r="F655" s="137"/>
    </row>
    <row r="656" spans="2:6" x14ac:dyDescent="0.25">
      <c r="B656" s="282"/>
      <c r="F656" s="137"/>
    </row>
    <row r="657" spans="2:6" x14ac:dyDescent="0.25">
      <c r="B657" s="282"/>
      <c r="F657" s="137"/>
    </row>
    <row r="658" spans="2:6" x14ac:dyDescent="0.25">
      <c r="B658" s="282"/>
      <c r="F658" s="137"/>
    </row>
    <row r="659" spans="2:6" x14ac:dyDescent="0.25">
      <c r="B659" s="282"/>
      <c r="F659" s="137"/>
    </row>
    <row r="660" spans="2:6" x14ac:dyDescent="0.25">
      <c r="B660" s="282"/>
      <c r="F660" s="137"/>
    </row>
    <row r="661" spans="2:6" x14ac:dyDescent="0.25">
      <c r="B661" s="282"/>
      <c r="F661" s="137"/>
    </row>
    <row r="662" spans="2:6" x14ac:dyDescent="0.25">
      <c r="B662" s="282"/>
      <c r="F662" s="137"/>
    </row>
    <row r="663" spans="2:6" x14ac:dyDescent="0.25">
      <c r="B663" s="282"/>
      <c r="F663" s="137"/>
    </row>
    <row r="664" spans="2:6" x14ac:dyDescent="0.25">
      <c r="B664" s="282"/>
      <c r="F664" s="137"/>
    </row>
    <row r="665" spans="2:6" x14ac:dyDescent="0.25">
      <c r="B665" s="282"/>
      <c r="F665" s="137"/>
    </row>
    <row r="666" spans="2:6" x14ac:dyDescent="0.25">
      <c r="B666" s="282"/>
      <c r="F666" s="137"/>
    </row>
    <row r="667" spans="2:6" x14ac:dyDescent="0.25">
      <c r="B667" s="282"/>
      <c r="F667" s="137"/>
    </row>
    <row r="668" spans="2:6" x14ac:dyDescent="0.25">
      <c r="B668" s="282"/>
      <c r="F668" s="137"/>
    </row>
    <row r="669" spans="2:6" x14ac:dyDescent="0.25">
      <c r="B669" s="282"/>
      <c r="F669" s="137"/>
    </row>
    <row r="670" spans="2:6" x14ac:dyDescent="0.25">
      <c r="B670" s="282"/>
      <c r="F670" s="137"/>
    </row>
    <row r="671" spans="2:6" x14ac:dyDescent="0.25">
      <c r="B671" s="282"/>
      <c r="F671" s="137"/>
    </row>
    <row r="672" spans="2:6" x14ac:dyDescent="0.25">
      <c r="B672" s="282"/>
      <c r="F672" s="137"/>
    </row>
    <row r="673" spans="2:6" x14ac:dyDescent="0.25">
      <c r="B673" s="282"/>
      <c r="F673" s="137"/>
    </row>
    <row r="674" spans="2:6" x14ac:dyDescent="0.25">
      <c r="B674" s="282"/>
      <c r="F674" s="137"/>
    </row>
    <row r="675" spans="2:6" x14ac:dyDescent="0.25">
      <c r="B675" s="282"/>
      <c r="F675" s="137"/>
    </row>
    <row r="676" spans="2:6" x14ac:dyDescent="0.25">
      <c r="B676" s="282"/>
      <c r="F676" s="137"/>
    </row>
    <row r="677" spans="2:6" x14ac:dyDescent="0.25">
      <c r="B677" s="282"/>
      <c r="F677" s="137"/>
    </row>
    <row r="678" spans="2:6" x14ac:dyDescent="0.25">
      <c r="B678" s="282"/>
      <c r="F678" s="137"/>
    </row>
    <row r="679" spans="2:6" x14ac:dyDescent="0.25">
      <c r="B679" s="282"/>
      <c r="F679" s="137"/>
    </row>
    <row r="680" spans="2:6" x14ac:dyDescent="0.25">
      <c r="B680" s="282"/>
      <c r="F680" s="137"/>
    </row>
    <row r="681" spans="2:6" x14ac:dyDescent="0.25">
      <c r="B681" s="282"/>
      <c r="F681" s="137"/>
    </row>
    <row r="682" spans="2:6" x14ac:dyDescent="0.25">
      <c r="B682" s="282"/>
      <c r="F682" s="137"/>
    </row>
    <row r="683" spans="2:6" x14ac:dyDescent="0.25">
      <c r="B683" s="282"/>
      <c r="F683" s="137"/>
    </row>
    <row r="684" spans="2:6" x14ac:dyDescent="0.25">
      <c r="B684" s="282"/>
      <c r="F684" s="137"/>
    </row>
    <row r="685" spans="2:6" x14ac:dyDescent="0.25">
      <c r="B685" s="282"/>
      <c r="F685" s="137"/>
    </row>
    <row r="686" spans="2:6" x14ac:dyDescent="0.25">
      <c r="B686" s="282"/>
      <c r="F686" s="137"/>
    </row>
    <row r="687" spans="2:6" x14ac:dyDescent="0.25">
      <c r="B687" s="282"/>
      <c r="F687" s="137"/>
    </row>
    <row r="688" spans="2:6" x14ac:dyDescent="0.25">
      <c r="B688" s="282"/>
      <c r="F688" s="137"/>
    </row>
    <row r="689" spans="2:6" x14ac:dyDescent="0.25">
      <c r="B689" s="282"/>
      <c r="F689" s="137"/>
    </row>
    <row r="690" spans="2:6" x14ac:dyDescent="0.25">
      <c r="B690" s="282"/>
      <c r="F690" s="137"/>
    </row>
    <row r="691" spans="2:6" x14ac:dyDescent="0.25">
      <c r="B691" s="282"/>
      <c r="F691" s="137"/>
    </row>
    <row r="692" spans="2:6" x14ac:dyDescent="0.25">
      <c r="B692" s="282"/>
      <c r="F692" s="137"/>
    </row>
    <row r="693" spans="2:6" x14ac:dyDescent="0.25">
      <c r="B693" s="282"/>
      <c r="F693" s="137"/>
    </row>
    <row r="694" spans="2:6" x14ac:dyDescent="0.25">
      <c r="B694" s="282"/>
      <c r="F694" s="137"/>
    </row>
    <row r="695" spans="2:6" x14ac:dyDescent="0.25">
      <c r="B695" s="282"/>
      <c r="F695" s="137"/>
    </row>
    <row r="696" spans="2:6" x14ac:dyDescent="0.25">
      <c r="B696" s="282"/>
      <c r="F696" s="137"/>
    </row>
    <row r="697" spans="2:6" x14ac:dyDescent="0.25">
      <c r="B697" s="282"/>
      <c r="F697" s="137"/>
    </row>
    <row r="698" spans="2:6" x14ac:dyDescent="0.25">
      <c r="B698" s="282"/>
      <c r="F698" s="137"/>
    </row>
    <row r="699" spans="2:6" x14ac:dyDescent="0.25">
      <c r="B699" s="282"/>
      <c r="F699" s="137"/>
    </row>
    <row r="700" spans="2:6" x14ac:dyDescent="0.25">
      <c r="B700" s="282"/>
      <c r="F700" s="137"/>
    </row>
    <row r="701" spans="2:6" x14ac:dyDescent="0.25">
      <c r="B701" s="282"/>
      <c r="F701" s="137"/>
    </row>
    <row r="702" spans="2:6" x14ac:dyDescent="0.25">
      <c r="B702" s="282"/>
      <c r="F702" s="137"/>
    </row>
    <row r="703" spans="2:6" x14ac:dyDescent="0.25">
      <c r="B703" s="282"/>
      <c r="F703" s="137"/>
    </row>
    <row r="704" spans="2:6" x14ac:dyDescent="0.25">
      <c r="B704" s="282"/>
      <c r="F704" s="137"/>
    </row>
    <row r="705" spans="2:6" x14ac:dyDescent="0.25">
      <c r="B705" s="282"/>
      <c r="F705" s="137"/>
    </row>
    <row r="706" spans="2:6" x14ac:dyDescent="0.25">
      <c r="B706" s="282"/>
      <c r="F706" s="137"/>
    </row>
    <row r="707" spans="2:6" x14ac:dyDescent="0.25">
      <c r="B707" s="282"/>
      <c r="F707" s="137"/>
    </row>
    <row r="708" spans="2:6" x14ac:dyDescent="0.25">
      <c r="B708" s="282"/>
      <c r="F708" s="137"/>
    </row>
    <row r="709" spans="2:6" x14ac:dyDescent="0.25">
      <c r="B709" s="282"/>
      <c r="F709" s="137"/>
    </row>
    <row r="710" spans="2:6" x14ac:dyDescent="0.25">
      <c r="B710" s="282"/>
      <c r="F710" s="137"/>
    </row>
    <row r="711" spans="2:6" x14ac:dyDescent="0.25">
      <c r="B711" s="282"/>
      <c r="F711" s="137"/>
    </row>
    <row r="712" spans="2:6" x14ac:dyDescent="0.25">
      <c r="B712" s="282"/>
      <c r="F712" s="137"/>
    </row>
    <row r="713" spans="2:6" x14ac:dyDescent="0.25">
      <c r="B713" s="282"/>
      <c r="F713" s="137"/>
    </row>
    <row r="714" spans="2:6" x14ac:dyDescent="0.25">
      <c r="B714" s="282"/>
      <c r="F714" s="137"/>
    </row>
    <row r="715" spans="2:6" x14ac:dyDescent="0.25">
      <c r="B715" s="282"/>
      <c r="F715" s="137"/>
    </row>
    <row r="716" spans="2:6" x14ac:dyDescent="0.25">
      <c r="B716" s="282"/>
      <c r="F716" s="137"/>
    </row>
    <row r="717" spans="2:6" x14ac:dyDescent="0.25">
      <c r="B717" s="282"/>
      <c r="F717" s="137"/>
    </row>
    <row r="718" spans="2:6" x14ac:dyDescent="0.25">
      <c r="B718" s="282"/>
      <c r="F718" s="137"/>
    </row>
    <row r="719" spans="2:6" x14ac:dyDescent="0.25">
      <c r="B719" s="282"/>
      <c r="F719" s="137"/>
    </row>
    <row r="720" spans="2:6" x14ac:dyDescent="0.25">
      <c r="B720" s="282"/>
      <c r="F720" s="137"/>
    </row>
    <row r="721" spans="2:6" x14ac:dyDescent="0.25">
      <c r="B721" s="282"/>
      <c r="F721" s="137"/>
    </row>
    <row r="722" spans="2:6" x14ac:dyDescent="0.25">
      <c r="B722" s="282"/>
      <c r="F722" s="137"/>
    </row>
    <row r="723" spans="2:6" x14ac:dyDescent="0.25">
      <c r="B723" s="282"/>
      <c r="F723" s="137"/>
    </row>
    <row r="724" spans="2:6" x14ac:dyDescent="0.25">
      <c r="B724" s="282"/>
      <c r="F724" s="137"/>
    </row>
    <row r="725" spans="2:6" x14ac:dyDescent="0.25">
      <c r="B725" s="282"/>
      <c r="F725" s="137"/>
    </row>
    <row r="726" spans="2:6" x14ac:dyDescent="0.25">
      <c r="B726" s="282"/>
      <c r="F726" s="137"/>
    </row>
    <row r="727" spans="2:6" x14ac:dyDescent="0.25">
      <c r="B727" s="282"/>
      <c r="F727" s="137"/>
    </row>
    <row r="728" spans="2:6" x14ac:dyDescent="0.25">
      <c r="B728" s="282"/>
      <c r="F728" s="137"/>
    </row>
    <row r="729" spans="2:6" x14ac:dyDescent="0.25">
      <c r="B729" s="282"/>
      <c r="F729" s="137"/>
    </row>
    <row r="730" spans="2:6" x14ac:dyDescent="0.25">
      <c r="B730" s="282"/>
      <c r="F730" s="137"/>
    </row>
    <row r="731" spans="2:6" x14ac:dyDescent="0.25">
      <c r="B731" s="282"/>
      <c r="F731" s="137"/>
    </row>
    <row r="732" spans="2:6" x14ac:dyDescent="0.25">
      <c r="B732" s="282"/>
      <c r="F732" s="137"/>
    </row>
    <row r="733" spans="2:6" x14ac:dyDescent="0.25">
      <c r="B733" s="282"/>
      <c r="F733" s="137"/>
    </row>
    <row r="734" spans="2:6" x14ac:dyDescent="0.25">
      <c r="B734" s="282"/>
      <c r="F734" s="137"/>
    </row>
    <row r="735" spans="2:6" x14ac:dyDescent="0.25">
      <c r="B735" s="282"/>
      <c r="F735" s="137"/>
    </row>
    <row r="736" spans="2:6" x14ac:dyDescent="0.25">
      <c r="B736" s="282"/>
      <c r="F736" s="137"/>
    </row>
    <row r="737" spans="2:6" x14ac:dyDescent="0.25">
      <c r="B737" s="282"/>
      <c r="F737" s="137"/>
    </row>
    <row r="738" spans="2:6" x14ac:dyDescent="0.25">
      <c r="B738" s="282"/>
      <c r="F738" s="137"/>
    </row>
    <row r="739" spans="2:6" x14ac:dyDescent="0.25">
      <c r="B739" s="282"/>
      <c r="F739" s="137"/>
    </row>
    <row r="740" spans="2:6" x14ac:dyDescent="0.25">
      <c r="B740" s="282"/>
      <c r="F740" s="137"/>
    </row>
    <row r="741" spans="2:6" x14ac:dyDescent="0.25">
      <c r="B741" s="282"/>
      <c r="F741" s="137"/>
    </row>
    <row r="742" spans="2:6" x14ac:dyDescent="0.25">
      <c r="B742" s="282"/>
      <c r="F742" s="137"/>
    </row>
    <row r="743" spans="2:6" x14ac:dyDescent="0.25">
      <c r="B743" s="282"/>
      <c r="F743" s="137"/>
    </row>
    <row r="744" spans="2:6" x14ac:dyDescent="0.25">
      <c r="B744" s="282"/>
      <c r="F744" s="137"/>
    </row>
    <row r="745" spans="2:6" x14ac:dyDescent="0.25">
      <c r="B745" s="282"/>
      <c r="F745" s="137"/>
    </row>
    <row r="746" spans="2:6" x14ac:dyDescent="0.25">
      <c r="B746" s="282"/>
      <c r="F746" s="137"/>
    </row>
    <row r="747" spans="2:6" x14ac:dyDescent="0.25">
      <c r="B747" s="282"/>
      <c r="F747" s="137"/>
    </row>
    <row r="748" spans="2:6" x14ac:dyDescent="0.25">
      <c r="B748" s="282"/>
      <c r="F748" s="137"/>
    </row>
    <row r="749" spans="2:6" x14ac:dyDescent="0.25">
      <c r="B749" s="282"/>
      <c r="F749" s="137"/>
    </row>
    <row r="750" spans="2:6" x14ac:dyDescent="0.25">
      <c r="B750" s="282"/>
      <c r="F750" s="137"/>
    </row>
    <row r="751" spans="2:6" x14ac:dyDescent="0.25">
      <c r="B751" s="282"/>
      <c r="F751" s="137"/>
    </row>
    <row r="752" spans="2:6" x14ac:dyDescent="0.25">
      <c r="B752" s="282"/>
      <c r="F752" s="137"/>
    </row>
    <row r="753" spans="2:6" x14ac:dyDescent="0.25">
      <c r="B753" s="282"/>
      <c r="F753" s="137"/>
    </row>
    <row r="754" spans="2:6" x14ac:dyDescent="0.25">
      <c r="B754" s="282"/>
      <c r="F754" s="137"/>
    </row>
    <row r="755" spans="2:6" x14ac:dyDescent="0.25">
      <c r="B755" s="282"/>
      <c r="F755" s="137"/>
    </row>
    <row r="756" spans="2:6" x14ac:dyDescent="0.25">
      <c r="B756" s="282"/>
      <c r="F756" s="137"/>
    </row>
    <row r="757" spans="2:6" x14ac:dyDescent="0.25">
      <c r="B757" s="282"/>
      <c r="F757" s="137"/>
    </row>
    <row r="758" spans="2:6" x14ac:dyDescent="0.25">
      <c r="B758" s="282"/>
      <c r="F758" s="137"/>
    </row>
    <row r="759" spans="2:6" x14ac:dyDescent="0.25">
      <c r="B759" s="282"/>
      <c r="F759" s="137"/>
    </row>
    <row r="760" spans="2:6" x14ac:dyDescent="0.25">
      <c r="B760" s="282"/>
      <c r="F760" s="137"/>
    </row>
    <row r="761" spans="2:6" x14ac:dyDescent="0.25">
      <c r="B761" s="282"/>
      <c r="F761" s="137"/>
    </row>
    <row r="762" spans="2:6" x14ac:dyDescent="0.25">
      <c r="B762" s="282"/>
      <c r="F762" s="137"/>
    </row>
    <row r="763" spans="2:6" x14ac:dyDescent="0.25">
      <c r="B763" s="282"/>
      <c r="F763" s="137"/>
    </row>
    <row r="764" spans="2:6" x14ac:dyDescent="0.25">
      <c r="B764" s="282"/>
      <c r="F764" s="137"/>
    </row>
    <row r="765" spans="2:6" x14ac:dyDescent="0.25">
      <c r="B765" s="282"/>
      <c r="F765" s="137"/>
    </row>
    <row r="766" spans="2:6" x14ac:dyDescent="0.25">
      <c r="B766" s="282"/>
      <c r="F766" s="137"/>
    </row>
    <row r="767" spans="2:6" x14ac:dyDescent="0.25">
      <c r="B767" s="282"/>
      <c r="F767" s="137"/>
    </row>
    <row r="768" spans="2:6" x14ac:dyDescent="0.25">
      <c r="B768" s="282"/>
      <c r="F768" s="137"/>
    </row>
    <row r="769" spans="2:6" x14ac:dyDescent="0.25">
      <c r="B769" s="282"/>
      <c r="F769" s="137"/>
    </row>
    <row r="770" spans="2:6" x14ac:dyDescent="0.25">
      <c r="B770" s="282"/>
      <c r="F770" s="137"/>
    </row>
    <row r="771" spans="2:6" x14ac:dyDescent="0.25">
      <c r="B771" s="282"/>
      <c r="F771" s="137"/>
    </row>
    <row r="772" spans="2:6" x14ac:dyDescent="0.25">
      <c r="B772" s="282"/>
      <c r="F772" s="137"/>
    </row>
    <row r="773" spans="2:6" x14ac:dyDescent="0.25">
      <c r="B773" s="282"/>
      <c r="F773" s="137"/>
    </row>
    <row r="774" spans="2:6" x14ac:dyDescent="0.25">
      <c r="B774" s="282"/>
      <c r="F774" s="137"/>
    </row>
    <row r="775" spans="2:6" x14ac:dyDescent="0.25">
      <c r="B775" s="282"/>
      <c r="F775" s="137"/>
    </row>
    <row r="776" spans="2:6" x14ac:dyDescent="0.25">
      <c r="B776" s="282"/>
      <c r="F776" s="137"/>
    </row>
    <row r="777" spans="2:6" x14ac:dyDescent="0.25">
      <c r="B777" s="282"/>
      <c r="F777" s="137"/>
    </row>
    <row r="778" spans="2:6" x14ac:dyDescent="0.25">
      <c r="B778" s="282"/>
      <c r="F778" s="137"/>
    </row>
    <row r="779" spans="2:6" x14ac:dyDescent="0.25">
      <c r="B779" s="282"/>
      <c r="F779" s="137"/>
    </row>
    <row r="780" spans="2:6" x14ac:dyDescent="0.25">
      <c r="B780" s="282"/>
      <c r="F780" s="137"/>
    </row>
    <row r="781" spans="2:6" x14ac:dyDescent="0.25">
      <c r="B781" s="282"/>
      <c r="F781" s="137"/>
    </row>
    <row r="782" spans="2:6" x14ac:dyDescent="0.25">
      <c r="B782" s="282"/>
      <c r="F782" s="137"/>
    </row>
    <row r="783" spans="2:6" x14ac:dyDescent="0.25">
      <c r="B783" s="282"/>
      <c r="F783" s="137"/>
    </row>
    <row r="784" spans="2:6" x14ac:dyDescent="0.25">
      <c r="B784" s="282"/>
      <c r="F784" s="137"/>
    </row>
    <row r="785" spans="1:6" x14ac:dyDescent="0.25">
      <c r="B785" s="282"/>
      <c r="F785" s="137"/>
    </row>
    <row r="786" spans="1:6" x14ac:dyDescent="0.25">
      <c r="B786" s="282"/>
      <c r="F786" s="137"/>
    </row>
    <row r="787" spans="1:6" x14ac:dyDescent="0.25">
      <c r="B787" s="282"/>
      <c r="F787" s="137"/>
    </row>
    <row r="788" spans="1:6" x14ac:dyDescent="0.25">
      <c r="B788" s="282"/>
      <c r="F788" s="137"/>
    </row>
    <row r="789" spans="1:6" x14ac:dyDescent="0.25">
      <c r="B789" s="282"/>
      <c r="F789" s="137"/>
    </row>
    <row r="790" spans="1:6" x14ac:dyDescent="0.25">
      <c r="B790" s="282"/>
      <c r="F790" s="137"/>
    </row>
    <row r="791" spans="1:6" x14ac:dyDescent="0.25">
      <c r="B791" s="282"/>
      <c r="F791" s="137"/>
    </row>
    <row r="792" spans="1:6" x14ac:dyDescent="0.25">
      <c r="B792" s="282"/>
      <c r="F792" s="137"/>
    </row>
    <row r="793" spans="1:6" x14ac:dyDescent="0.25">
      <c r="B793" s="282"/>
      <c r="F793" s="137"/>
    </row>
    <row r="794" spans="1:6" x14ac:dyDescent="0.25">
      <c r="B794" s="282"/>
      <c r="F794" s="137"/>
    </row>
    <row r="795" spans="1:6" x14ac:dyDescent="0.25">
      <c r="B795" s="282"/>
      <c r="F795" s="137"/>
    </row>
    <row r="797" spans="1:6" x14ac:dyDescent="0.25">
      <c r="A797" s="250"/>
      <c r="B797" s="417" t="s">
        <v>821</v>
      </c>
      <c r="C797" s="418"/>
      <c r="D797" s="418"/>
      <c r="E797" s="419"/>
      <c r="F797" s="95">
        <f>F447+F285+F134</f>
        <v>867938207.5</v>
      </c>
    </row>
  </sheetData>
  <mergeCells count="84">
    <mergeCell ref="A225:F225"/>
    <mergeCell ref="A227:A228"/>
    <mergeCell ref="C227:C228"/>
    <mergeCell ref="D227:F227"/>
    <mergeCell ref="A162:C162"/>
    <mergeCell ref="A177:C177"/>
    <mergeCell ref="A179:C179"/>
    <mergeCell ref="A139:A140"/>
    <mergeCell ref="B139:B140"/>
    <mergeCell ref="C139:C140"/>
    <mergeCell ref="C97:E97"/>
    <mergeCell ref="A94:F94"/>
    <mergeCell ref="A95:A96"/>
    <mergeCell ref="B95:B96"/>
    <mergeCell ref="C95:C96"/>
    <mergeCell ref="D95:F95"/>
    <mergeCell ref="D139:F139"/>
    <mergeCell ref="A141:B141"/>
    <mergeCell ref="A149:B149"/>
    <mergeCell ref="A210:C210"/>
    <mergeCell ref="A214:C214"/>
    <mergeCell ref="A201:C201"/>
    <mergeCell ref="A204:C204"/>
    <mergeCell ref="A208:C208"/>
    <mergeCell ref="A193:C193"/>
    <mergeCell ref="A195:C195"/>
    <mergeCell ref="A197:C197"/>
    <mergeCell ref="A183:C183"/>
    <mergeCell ref="A189:C189"/>
    <mergeCell ref="A191:C191"/>
    <mergeCell ref="A153:C153"/>
    <mergeCell ref="A143:B143"/>
    <mergeCell ref="C55:E55"/>
    <mergeCell ref="A5:F5"/>
    <mergeCell ref="A138:F138"/>
    <mergeCell ref="B2:F2"/>
    <mergeCell ref="A52:F52"/>
    <mergeCell ref="A53:A54"/>
    <mergeCell ref="B53:B54"/>
    <mergeCell ref="C53:C54"/>
    <mergeCell ref="D53:F53"/>
    <mergeCell ref="A6:A7"/>
    <mergeCell ref="B6:B7"/>
    <mergeCell ref="C6:C7"/>
    <mergeCell ref="D6:F6"/>
    <mergeCell ref="C8:E8"/>
    <mergeCell ref="A290:F290"/>
    <mergeCell ref="A291:A292"/>
    <mergeCell ref="B291:B292"/>
    <mergeCell ref="C291:C292"/>
    <mergeCell ref="D291:F291"/>
    <mergeCell ref="A333:A334"/>
    <mergeCell ref="B333:B334"/>
    <mergeCell ref="C333:C334"/>
    <mergeCell ref="D333:F333"/>
    <mergeCell ref="C293:E293"/>
    <mergeCell ref="A332:F332"/>
    <mergeCell ref="B797:E797"/>
    <mergeCell ref="C413:E413"/>
    <mergeCell ref="C372:E372"/>
    <mergeCell ref="A410:F410"/>
    <mergeCell ref="A411:A412"/>
    <mergeCell ref="B411:B412"/>
    <mergeCell ref="C411:C412"/>
    <mergeCell ref="D411:F411"/>
    <mergeCell ref="B453:B454"/>
    <mergeCell ref="C453:C454"/>
    <mergeCell ref="B495:B496"/>
    <mergeCell ref="A530:F530"/>
    <mergeCell ref="D453:F453"/>
    <mergeCell ref="C455:E455"/>
    <mergeCell ref="A494:F494"/>
    <mergeCell ref="C495:C496"/>
    <mergeCell ref="C335:E335"/>
    <mergeCell ref="A369:F369"/>
    <mergeCell ref="A370:A371"/>
    <mergeCell ref="B370:B371"/>
    <mergeCell ref="C370:C371"/>
    <mergeCell ref="D370:F370"/>
    <mergeCell ref="A495:A496"/>
    <mergeCell ref="D495:F495"/>
    <mergeCell ref="C497:E497"/>
    <mergeCell ref="A452:F452"/>
    <mergeCell ref="A453:A454"/>
  </mergeCells>
  <pageMargins left="0.70866141732283472" right="0.70866141732283472" top="0.94488188976377963" bottom="0.94488188976377963" header="0.31496062992125984" footer="0.31496062992125984"/>
  <pageSetup scale="75" orientation="portrait" horizontalDpi="4294967295" verticalDpi="4294967295" r:id="rId1"/>
  <headerFooter>
    <oddHeader xml:space="preserve">&amp;C&amp;P de &amp;N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74"/>
  <sheetViews>
    <sheetView view="pageLayout" topLeftCell="A623" zoomScaleNormal="100" workbookViewId="0">
      <selection activeCell="A625" sqref="A625"/>
    </sheetView>
  </sheetViews>
  <sheetFormatPr baseColWidth="10" defaultRowHeight="15" x14ac:dyDescent="0.25"/>
  <cols>
    <col min="1" max="1" width="11.7109375" style="81" bestFit="1" customWidth="1"/>
    <col min="2" max="2" width="33" style="81" customWidth="1"/>
    <col min="3" max="3" width="11.42578125" style="81"/>
    <col min="4" max="4" width="11.7109375" style="81" bestFit="1" customWidth="1"/>
    <col min="5" max="5" width="18.28515625" style="81" customWidth="1"/>
    <col min="6" max="6" width="15.5703125" style="81" bestFit="1" customWidth="1"/>
    <col min="7" max="7" width="14.140625" style="81" bestFit="1" customWidth="1"/>
    <col min="8" max="8" width="12.5703125" style="81" bestFit="1" customWidth="1"/>
    <col min="9" max="16384" width="11.42578125" style="81"/>
  </cols>
  <sheetData>
    <row r="2" spans="1:6" x14ac:dyDescent="0.25">
      <c r="A2" s="455" t="s">
        <v>432</v>
      </c>
      <c r="B2" s="455"/>
      <c r="C2" s="455"/>
      <c r="D2" s="455"/>
      <c r="E2" s="455"/>
      <c r="F2" s="455"/>
    </row>
    <row r="4" spans="1:6" x14ac:dyDescent="0.25">
      <c r="A4" s="422" t="s">
        <v>275</v>
      </c>
      <c r="B4" s="422"/>
      <c r="C4" s="422"/>
      <c r="D4" s="422"/>
      <c r="E4" s="422"/>
      <c r="F4" s="422"/>
    </row>
    <row r="5" spans="1:6" x14ac:dyDescent="0.25">
      <c r="A5" s="420" t="s">
        <v>10</v>
      </c>
      <c r="B5" s="420" t="s">
        <v>0</v>
      </c>
      <c r="C5" s="420" t="s">
        <v>11</v>
      </c>
      <c r="D5" s="420" t="s">
        <v>12</v>
      </c>
      <c r="E5" s="420"/>
      <c r="F5" s="420"/>
    </row>
    <row r="6" spans="1:6" x14ac:dyDescent="0.25">
      <c r="A6" s="420"/>
      <c r="B6" s="420"/>
      <c r="C6" s="420"/>
      <c r="D6" s="54" t="s">
        <v>13</v>
      </c>
      <c r="E6" s="54" t="s">
        <v>14</v>
      </c>
      <c r="F6" s="54" t="s">
        <v>15</v>
      </c>
    </row>
    <row r="7" spans="1:6" x14ac:dyDescent="0.25">
      <c r="A7" s="222">
        <v>1</v>
      </c>
      <c r="B7" s="18" t="s">
        <v>16</v>
      </c>
      <c r="C7" s="420"/>
      <c r="D7" s="420"/>
      <c r="E7" s="420"/>
      <c r="F7" s="20"/>
    </row>
    <row r="8" spans="1:6" ht="29.25" x14ac:dyDescent="0.25">
      <c r="A8" s="222">
        <f>A7+1</f>
        <v>2</v>
      </c>
      <c r="B8" s="17" t="s">
        <v>17</v>
      </c>
      <c r="C8" s="222" t="s">
        <v>18</v>
      </c>
      <c r="D8" s="31">
        <v>96</v>
      </c>
      <c r="E8" s="59">
        <v>5214</v>
      </c>
      <c r="F8" s="249">
        <f t="shared" ref="F8:F36" si="0">ROUND(D8*E8,0)</f>
        <v>500544</v>
      </c>
    </row>
    <row r="9" spans="1:6" ht="43.5" x14ac:dyDescent="0.25">
      <c r="A9" s="222">
        <f>A8+1</f>
        <v>3</v>
      </c>
      <c r="B9" s="17" t="s">
        <v>21</v>
      </c>
      <c r="C9" s="222" t="s">
        <v>18</v>
      </c>
      <c r="D9" s="31">
        <v>204</v>
      </c>
      <c r="E9" s="59">
        <v>13608</v>
      </c>
      <c r="F9" s="249">
        <f t="shared" si="0"/>
        <v>2776032</v>
      </c>
    </row>
    <row r="10" spans="1:6" x14ac:dyDescent="0.25">
      <c r="A10" s="222">
        <f t="shared" ref="A10:A36" si="1">A9+1</f>
        <v>4</v>
      </c>
      <c r="B10" s="9" t="s">
        <v>22</v>
      </c>
      <c r="C10" s="222" t="s">
        <v>23</v>
      </c>
      <c r="D10" s="31">
        <v>2</v>
      </c>
      <c r="E10" s="59">
        <v>155349</v>
      </c>
      <c r="F10" s="249">
        <f t="shared" si="0"/>
        <v>310698</v>
      </c>
    </row>
    <row r="11" spans="1:6" x14ac:dyDescent="0.25">
      <c r="A11" s="222">
        <f t="shared" si="1"/>
        <v>5</v>
      </c>
      <c r="B11" s="18" t="s">
        <v>25</v>
      </c>
      <c r="C11" s="20"/>
      <c r="D11" s="20"/>
      <c r="E11" s="59"/>
      <c r="F11" s="249">
        <f t="shared" si="0"/>
        <v>0</v>
      </c>
    </row>
    <row r="12" spans="1:6" x14ac:dyDescent="0.25">
      <c r="A12" s="222">
        <f t="shared" si="1"/>
        <v>6</v>
      </c>
      <c r="B12" s="55" t="s">
        <v>26</v>
      </c>
      <c r="C12" s="222" t="s">
        <v>18</v>
      </c>
      <c r="D12" s="31">
        <v>432</v>
      </c>
      <c r="E12" s="59">
        <v>7630</v>
      </c>
      <c r="F12" s="249">
        <f t="shared" si="0"/>
        <v>3296160</v>
      </c>
    </row>
    <row r="13" spans="1:6" ht="42.75" x14ac:dyDescent="0.25">
      <c r="A13" s="222">
        <f t="shared" si="1"/>
        <v>7</v>
      </c>
      <c r="B13" s="9" t="s">
        <v>27</v>
      </c>
      <c r="C13" s="222" t="s">
        <v>64</v>
      </c>
      <c r="D13" s="31">
        <v>31</v>
      </c>
      <c r="E13" s="59">
        <v>83312</v>
      </c>
      <c r="F13" s="249">
        <f t="shared" si="0"/>
        <v>2582672</v>
      </c>
    </row>
    <row r="14" spans="1:6" x14ac:dyDescent="0.25">
      <c r="A14" s="222">
        <f t="shared" si="1"/>
        <v>8</v>
      </c>
      <c r="B14" s="18" t="s">
        <v>28</v>
      </c>
      <c r="C14" s="20"/>
      <c r="D14" s="20"/>
      <c r="E14" s="242"/>
      <c r="F14" s="249">
        <f t="shared" si="0"/>
        <v>0</v>
      </c>
    </row>
    <row r="15" spans="1:6" x14ac:dyDescent="0.25">
      <c r="A15" s="222">
        <f t="shared" si="1"/>
        <v>9</v>
      </c>
      <c r="B15" s="17" t="s">
        <v>29</v>
      </c>
      <c r="C15" s="222" t="s">
        <v>64</v>
      </c>
      <c r="D15" s="31">
        <v>298</v>
      </c>
      <c r="E15" s="59">
        <v>26317</v>
      </c>
      <c r="F15" s="249">
        <f t="shared" si="0"/>
        <v>7842466</v>
      </c>
    </row>
    <row r="16" spans="1:6" x14ac:dyDescent="0.25">
      <c r="A16" s="222">
        <f t="shared" si="1"/>
        <v>10</v>
      </c>
      <c r="B16" s="9" t="s">
        <v>30</v>
      </c>
      <c r="C16" s="222" t="s">
        <v>64</v>
      </c>
      <c r="D16" s="31">
        <v>18</v>
      </c>
      <c r="E16" s="59">
        <v>30682</v>
      </c>
      <c r="F16" s="249">
        <f t="shared" si="0"/>
        <v>552276</v>
      </c>
    </row>
    <row r="17" spans="1:6" x14ac:dyDescent="0.25">
      <c r="A17" s="222">
        <f t="shared" si="1"/>
        <v>11</v>
      </c>
      <c r="B17" s="9" t="s">
        <v>31</v>
      </c>
      <c r="C17" s="222" t="s">
        <v>18</v>
      </c>
      <c r="D17" s="31">
        <v>60</v>
      </c>
      <c r="E17" s="59">
        <v>31128</v>
      </c>
      <c r="F17" s="249">
        <f t="shared" si="0"/>
        <v>1867680</v>
      </c>
    </row>
    <row r="18" spans="1:6" ht="28.5" x14ac:dyDescent="0.25">
      <c r="A18" s="222">
        <f t="shared" si="1"/>
        <v>12</v>
      </c>
      <c r="B18" s="9" t="s">
        <v>32</v>
      </c>
      <c r="C18" s="222" t="s">
        <v>64</v>
      </c>
      <c r="D18" s="31">
        <v>104</v>
      </c>
      <c r="E18" s="59">
        <v>32749</v>
      </c>
      <c r="F18" s="249">
        <f t="shared" si="0"/>
        <v>3405896</v>
      </c>
    </row>
    <row r="19" spans="1:6" ht="30" x14ac:dyDescent="0.25">
      <c r="A19" s="222">
        <f t="shared" si="1"/>
        <v>13</v>
      </c>
      <c r="B19" s="267" t="s">
        <v>33</v>
      </c>
      <c r="C19" s="20"/>
      <c r="D19" s="20"/>
      <c r="E19" s="242"/>
      <c r="F19" s="249">
        <f t="shared" si="0"/>
        <v>0</v>
      </c>
    </row>
    <row r="20" spans="1:6" ht="29.25" x14ac:dyDescent="0.25">
      <c r="A20" s="222">
        <f t="shared" si="1"/>
        <v>14</v>
      </c>
      <c r="B20" s="17" t="s">
        <v>66</v>
      </c>
      <c r="C20" s="222" t="s">
        <v>18</v>
      </c>
      <c r="D20" s="31">
        <v>96</v>
      </c>
      <c r="E20" s="59">
        <v>23781</v>
      </c>
      <c r="F20" s="249">
        <f t="shared" si="0"/>
        <v>2282976</v>
      </c>
    </row>
    <row r="21" spans="1:6" ht="57" x14ac:dyDescent="0.25">
      <c r="A21" s="222">
        <f t="shared" si="1"/>
        <v>15</v>
      </c>
      <c r="B21" s="57" t="s">
        <v>35</v>
      </c>
      <c r="C21" s="222" t="s">
        <v>18</v>
      </c>
      <c r="D21" s="31">
        <v>1</v>
      </c>
      <c r="E21" s="59">
        <v>637411</v>
      </c>
      <c r="F21" s="249">
        <f t="shared" si="0"/>
        <v>637411</v>
      </c>
    </row>
    <row r="22" spans="1:6" ht="42.75" x14ac:dyDescent="0.25">
      <c r="A22" s="222">
        <f t="shared" si="1"/>
        <v>16</v>
      </c>
      <c r="B22" s="9" t="s">
        <v>276</v>
      </c>
      <c r="C22" s="222" t="s">
        <v>37</v>
      </c>
      <c r="D22" s="31">
        <v>2</v>
      </c>
      <c r="E22" s="59">
        <v>777600</v>
      </c>
      <c r="F22" s="249">
        <f t="shared" si="0"/>
        <v>1555200</v>
      </c>
    </row>
    <row r="23" spans="1:6" x14ac:dyDescent="0.25">
      <c r="A23" s="222">
        <f t="shared" si="1"/>
        <v>17</v>
      </c>
      <c r="B23" s="55" t="s">
        <v>38</v>
      </c>
      <c r="C23" s="222" t="s">
        <v>37</v>
      </c>
      <c r="D23" s="31">
        <v>2</v>
      </c>
      <c r="E23" s="59">
        <v>540447</v>
      </c>
      <c r="F23" s="249">
        <f t="shared" si="0"/>
        <v>1080894</v>
      </c>
    </row>
    <row r="24" spans="1:6" ht="43.5" x14ac:dyDescent="0.25">
      <c r="A24" s="222">
        <f t="shared" si="1"/>
        <v>18</v>
      </c>
      <c r="B24" s="17" t="s">
        <v>39</v>
      </c>
      <c r="C24" s="222" t="s">
        <v>18</v>
      </c>
      <c r="D24" s="31">
        <v>120</v>
      </c>
      <c r="E24" s="59">
        <v>13802</v>
      </c>
      <c r="F24" s="249">
        <f t="shared" si="0"/>
        <v>1656240</v>
      </c>
    </row>
    <row r="25" spans="1:6" ht="42.75" x14ac:dyDescent="0.25">
      <c r="A25" s="222">
        <f t="shared" si="1"/>
        <v>19</v>
      </c>
      <c r="B25" s="9" t="s">
        <v>40</v>
      </c>
      <c r="C25" s="222" t="s">
        <v>23</v>
      </c>
      <c r="D25" s="31">
        <v>24</v>
      </c>
      <c r="E25" s="59">
        <v>399818</v>
      </c>
      <c r="F25" s="249">
        <f t="shared" si="0"/>
        <v>9595632</v>
      </c>
    </row>
    <row r="26" spans="1:6" x14ac:dyDescent="0.25">
      <c r="A26" s="222">
        <f t="shared" si="1"/>
        <v>20</v>
      </c>
      <c r="B26" s="17" t="s">
        <v>67</v>
      </c>
      <c r="C26" s="222" t="s">
        <v>23</v>
      </c>
      <c r="D26" s="31">
        <v>24</v>
      </c>
      <c r="E26" s="59">
        <v>43482</v>
      </c>
      <c r="F26" s="249">
        <f t="shared" si="0"/>
        <v>1043568</v>
      </c>
    </row>
    <row r="27" spans="1:6" x14ac:dyDescent="0.25">
      <c r="A27" s="222">
        <f t="shared" si="1"/>
        <v>21</v>
      </c>
      <c r="B27" s="55" t="s">
        <v>42</v>
      </c>
      <c r="C27" s="222" t="s">
        <v>23</v>
      </c>
      <c r="D27" s="31">
        <v>2</v>
      </c>
      <c r="E27" s="59">
        <v>90312</v>
      </c>
      <c r="F27" s="249">
        <f t="shared" si="0"/>
        <v>180624</v>
      </c>
    </row>
    <row r="28" spans="1:6" x14ac:dyDescent="0.25">
      <c r="A28" s="222">
        <f t="shared" si="1"/>
        <v>22</v>
      </c>
      <c r="B28" s="18" t="s">
        <v>43</v>
      </c>
      <c r="C28" s="20"/>
      <c r="D28" s="20"/>
      <c r="E28" s="59"/>
      <c r="F28" s="249">
        <f t="shared" si="0"/>
        <v>0</v>
      </c>
    </row>
    <row r="29" spans="1:6" x14ac:dyDescent="0.25">
      <c r="A29" s="222">
        <f t="shared" si="1"/>
        <v>23</v>
      </c>
      <c r="B29" s="9" t="s">
        <v>44</v>
      </c>
      <c r="C29" s="222" t="s">
        <v>64</v>
      </c>
      <c r="D29" s="31">
        <v>20</v>
      </c>
      <c r="E29" s="59">
        <v>120657</v>
      </c>
      <c r="F29" s="249">
        <f t="shared" si="0"/>
        <v>2413140</v>
      </c>
    </row>
    <row r="30" spans="1:6" ht="36.75" customHeight="1" x14ac:dyDescent="0.25">
      <c r="A30" s="222">
        <f t="shared" si="1"/>
        <v>24</v>
      </c>
      <c r="B30" s="9" t="s">
        <v>45</v>
      </c>
      <c r="C30" s="222" t="s">
        <v>64</v>
      </c>
      <c r="D30" s="31">
        <v>244</v>
      </c>
      <c r="E30" s="59">
        <v>22131</v>
      </c>
      <c r="F30" s="249">
        <f t="shared" si="0"/>
        <v>5399964</v>
      </c>
    </row>
    <row r="31" spans="1:6" ht="26.25" customHeight="1" x14ac:dyDescent="0.25">
      <c r="A31" s="222">
        <f t="shared" si="1"/>
        <v>25</v>
      </c>
      <c r="B31" s="9" t="s">
        <v>152</v>
      </c>
      <c r="C31" s="222" t="s">
        <v>64</v>
      </c>
      <c r="D31" s="31">
        <v>42</v>
      </c>
      <c r="E31" s="59">
        <v>144847</v>
      </c>
      <c r="F31" s="249">
        <f t="shared" si="0"/>
        <v>6083574</v>
      </c>
    </row>
    <row r="32" spans="1:6" x14ac:dyDescent="0.25">
      <c r="A32" s="222">
        <f t="shared" si="1"/>
        <v>26</v>
      </c>
      <c r="B32" s="18" t="s">
        <v>48</v>
      </c>
      <c r="C32" s="20"/>
      <c r="D32" s="20"/>
      <c r="E32" s="59"/>
      <c r="F32" s="249">
        <f t="shared" si="0"/>
        <v>0</v>
      </c>
    </row>
    <row r="33" spans="1:11" ht="29.25" x14ac:dyDescent="0.25">
      <c r="A33" s="222">
        <f t="shared" si="1"/>
        <v>27</v>
      </c>
      <c r="B33" s="17" t="s">
        <v>49</v>
      </c>
      <c r="C33" s="222" t="s">
        <v>64</v>
      </c>
      <c r="D33" s="31">
        <v>1</v>
      </c>
      <c r="E33" s="59">
        <v>605480</v>
      </c>
      <c r="F33" s="249">
        <f t="shared" si="0"/>
        <v>605480</v>
      </c>
    </row>
    <row r="34" spans="1:11" ht="29.25" x14ac:dyDescent="0.25">
      <c r="A34" s="222">
        <f t="shared" si="1"/>
        <v>28</v>
      </c>
      <c r="B34" s="17" t="s">
        <v>50</v>
      </c>
      <c r="C34" s="222" t="s">
        <v>64</v>
      </c>
      <c r="D34" s="31">
        <v>30</v>
      </c>
      <c r="E34" s="59">
        <v>822268</v>
      </c>
      <c r="F34" s="249">
        <f t="shared" si="0"/>
        <v>24668040</v>
      </c>
    </row>
    <row r="35" spans="1:11" x14ac:dyDescent="0.25">
      <c r="A35" s="222">
        <f t="shared" si="1"/>
        <v>29</v>
      </c>
      <c r="B35" s="18" t="s">
        <v>51</v>
      </c>
      <c r="C35" s="20"/>
      <c r="D35" s="20"/>
      <c r="E35" s="59"/>
      <c r="F35" s="249">
        <f t="shared" si="0"/>
        <v>0</v>
      </c>
    </row>
    <row r="36" spans="1:11" x14ac:dyDescent="0.25">
      <c r="A36" s="222">
        <f t="shared" si="1"/>
        <v>30</v>
      </c>
      <c r="B36" s="9" t="s">
        <v>52</v>
      </c>
      <c r="C36" s="222" t="s">
        <v>53</v>
      </c>
      <c r="D36" s="31">
        <v>36</v>
      </c>
      <c r="E36" s="59">
        <v>5922</v>
      </c>
      <c r="F36" s="249">
        <f t="shared" si="0"/>
        <v>213192</v>
      </c>
      <c r="K36" s="80"/>
    </row>
    <row r="37" spans="1:11" x14ac:dyDescent="0.25">
      <c r="A37" s="219"/>
      <c r="B37" s="18" t="s">
        <v>56</v>
      </c>
      <c r="C37" s="54"/>
      <c r="D37" s="130"/>
      <c r="E37" s="28"/>
      <c r="F37" s="28">
        <f>ROUND((F36+F35+F34+F33+F32+F31+F30+F29+F28+F27+F26+F25+F24+F23+F22+F21+F20+F19+F18+F17+F16+F15+F13+F12+F10+F9+F8),0)</f>
        <v>80550359</v>
      </c>
    </row>
    <row r="38" spans="1:11" x14ac:dyDescent="0.25">
      <c r="A38" s="19"/>
      <c r="B38" s="19" t="s">
        <v>60</v>
      </c>
      <c r="C38" s="19"/>
      <c r="D38" s="19"/>
      <c r="E38" s="19"/>
      <c r="F38" s="29">
        <f>ROUND(F37/1.3495,0)</f>
        <v>59689040</v>
      </c>
    </row>
    <row r="39" spans="1:11" x14ac:dyDescent="0.25">
      <c r="A39" s="19"/>
      <c r="B39" s="19" t="s">
        <v>61</v>
      </c>
      <c r="C39" s="131">
        <v>0.24</v>
      </c>
      <c r="D39" s="19"/>
      <c r="E39" s="19"/>
      <c r="F39" s="29">
        <f>ROUND(F38*C39,0)</f>
        <v>14325370</v>
      </c>
    </row>
    <row r="40" spans="1:11" x14ac:dyDescent="0.25">
      <c r="A40" s="19"/>
      <c r="B40" s="19" t="s">
        <v>57</v>
      </c>
      <c r="C40" s="131">
        <v>0.05</v>
      </c>
      <c r="D40" s="19"/>
      <c r="E40" s="19"/>
      <c r="F40" s="29">
        <f>ROUND(F38*C40,0)</f>
        <v>2984452</v>
      </c>
    </row>
    <row r="41" spans="1:11" x14ac:dyDescent="0.25">
      <c r="A41" s="19"/>
      <c r="B41" s="19" t="s">
        <v>62</v>
      </c>
      <c r="C41" s="131">
        <v>0.05</v>
      </c>
      <c r="D41" s="19"/>
      <c r="E41" s="19"/>
      <c r="F41" s="29">
        <f>ROUND(F38*C41,0)</f>
        <v>2984452</v>
      </c>
    </row>
    <row r="42" spans="1:11" x14ac:dyDescent="0.25">
      <c r="A42" s="19"/>
      <c r="B42" s="132" t="s">
        <v>63</v>
      </c>
      <c r="C42" s="133">
        <v>0.19</v>
      </c>
      <c r="D42" s="120"/>
      <c r="E42" s="120"/>
      <c r="F42" s="35">
        <f>ROUND(F41*19%,0)</f>
        <v>567046</v>
      </c>
    </row>
    <row r="43" spans="1:11" x14ac:dyDescent="0.25">
      <c r="A43" s="19"/>
      <c r="B43" s="18" t="s">
        <v>56</v>
      </c>
      <c r="C43" s="19"/>
      <c r="D43" s="19"/>
      <c r="E43" s="19"/>
      <c r="F43" s="30">
        <f>SUM(F38:F42)</f>
        <v>80550360</v>
      </c>
    </row>
    <row r="45" spans="1:11" x14ac:dyDescent="0.25">
      <c r="A45" s="422" t="s">
        <v>295</v>
      </c>
      <c r="B45" s="422"/>
      <c r="C45" s="422"/>
      <c r="D45" s="422"/>
      <c r="E45" s="422"/>
      <c r="F45" s="422"/>
    </row>
    <row r="46" spans="1:11" x14ac:dyDescent="0.25">
      <c r="A46" s="420" t="s">
        <v>10</v>
      </c>
      <c r="B46" s="420" t="s">
        <v>0</v>
      </c>
      <c r="C46" s="420" t="s">
        <v>11</v>
      </c>
      <c r="D46" s="420" t="s">
        <v>12</v>
      </c>
      <c r="E46" s="420"/>
      <c r="F46" s="420"/>
    </row>
    <row r="47" spans="1:11" x14ac:dyDescent="0.25">
      <c r="A47" s="420"/>
      <c r="B47" s="420"/>
      <c r="C47" s="420"/>
      <c r="D47" s="54" t="s">
        <v>13</v>
      </c>
      <c r="E47" s="54" t="s">
        <v>14</v>
      </c>
      <c r="F47" s="54" t="s">
        <v>15</v>
      </c>
    </row>
    <row r="48" spans="1:11" x14ac:dyDescent="0.25">
      <c r="A48" s="222">
        <f t="shared" ref="A48:A70" si="2">A47+1</f>
        <v>1</v>
      </c>
      <c r="B48" s="18" t="s">
        <v>16</v>
      </c>
      <c r="C48" s="420"/>
      <c r="D48" s="420"/>
      <c r="E48" s="420"/>
      <c r="F48" s="20"/>
    </row>
    <row r="49" spans="1:6" ht="29.25" x14ac:dyDescent="0.25">
      <c r="A49" s="222">
        <f t="shared" si="2"/>
        <v>2</v>
      </c>
      <c r="B49" s="17" t="s">
        <v>77</v>
      </c>
      <c r="C49" s="286" t="s">
        <v>18</v>
      </c>
      <c r="D49" s="61">
        <v>96</v>
      </c>
      <c r="E49" s="243">
        <v>4843</v>
      </c>
      <c r="F49" s="249">
        <f t="shared" ref="F49:F70" si="3">ROUND(D49*E49,0)</f>
        <v>464928</v>
      </c>
    </row>
    <row r="50" spans="1:6" x14ac:dyDescent="0.25">
      <c r="A50" s="222">
        <f t="shared" si="2"/>
        <v>3</v>
      </c>
      <c r="B50" s="18" t="s">
        <v>25</v>
      </c>
      <c r="C50" s="20"/>
      <c r="D50" s="20"/>
      <c r="E50" s="243"/>
      <c r="F50" s="249">
        <v>0</v>
      </c>
    </row>
    <row r="51" spans="1:6" x14ac:dyDescent="0.25">
      <c r="A51" s="222">
        <f t="shared" si="2"/>
        <v>4</v>
      </c>
      <c r="B51" s="56" t="s">
        <v>26</v>
      </c>
      <c r="C51" s="286" t="s">
        <v>18</v>
      </c>
      <c r="D51" s="61">
        <v>544</v>
      </c>
      <c r="E51" s="243">
        <v>7086</v>
      </c>
      <c r="F51" s="249">
        <f t="shared" si="3"/>
        <v>3854784</v>
      </c>
    </row>
    <row r="52" spans="1:6" ht="43.5" x14ac:dyDescent="0.25">
      <c r="A52" s="222">
        <f t="shared" si="2"/>
        <v>5</v>
      </c>
      <c r="B52" s="17" t="s">
        <v>78</v>
      </c>
      <c r="C52" s="286" t="s">
        <v>64</v>
      </c>
      <c r="D52" s="61">
        <v>18</v>
      </c>
      <c r="E52" s="243">
        <v>77371</v>
      </c>
      <c r="F52" s="249">
        <f t="shared" si="3"/>
        <v>1392678</v>
      </c>
    </row>
    <row r="53" spans="1:6" x14ac:dyDescent="0.25">
      <c r="A53" s="222">
        <f t="shared" si="2"/>
        <v>6</v>
      </c>
      <c r="B53" s="18" t="s">
        <v>28</v>
      </c>
      <c r="C53" s="20"/>
      <c r="D53" s="20"/>
      <c r="E53" s="243"/>
      <c r="F53" s="249">
        <v>0</v>
      </c>
    </row>
    <row r="54" spans="1:6" x14ac:dyDescent="0.25">
      <c r="A54" s="222">
        <f t="shared" si="2"/>
        <v>7</v>
      </c>
      <c r="B54" s="55" t="s">
        <v>79</v>
      </c>
      <c r="C54" s="286" t="s">
        <v>64</v>
      </c>
      <c r="D54" s="61">
        <v>76</v>
      </c>
      <c r="E54" s="243">
        <v>24440</v>
      </c>
      <c r="F54" s="249">
        <f t="shared" si="3"/>
        <v>1857440</v>
      </c>
    </row>
    <row r="55" spans="1:6" ht="29.25" x14ac:dyDescent="0.25">
      <c r="A55" s="222">
        <f t="shared" si="2"/>
        <v>8</v>
      </c>
      <c r="B55" s="17" t="s">
        <v>32</v>
      </c>
      <c r="C55" s="286" t="s">
        <v>64</v>
      </c>
      <c r="D55" s="61">
        <v>53</v>
      </c>
      <c r="E55" s="243">
        <v>30415</v>
      </c>
      <c r="F55" s="249">
        <f t="shared" si="3"/>
        <v>1611995</v>
      </c>
    </row>
    <row r="56" spans="1:6" x14ac:dyDescent="0.25">
      <c r="A56" s="222">
        <f t="shared" si="2"/>
        <v>9</v>
      </c>
      <c r="B56" s="18" t="s">
        <v>80</v>
      </c>
      <c r="C56" s="20"/>
      <c r="D56" s="20"/>
      <c r="E56" s="243"/>
      <c r="F56" s="249">
        <f t="shared" si="3"/>
        <v>0</v>
      </c>
    </row>
    <row r="57" spans="1:6" x14ac:dyDescent="0.25">
      <c r="A57" s="222">
        <f t="shared" si="2"/>
        <v>10</v>
      </c>
      <c r="B57" s="55" t="s">
        <v>81</v>
      </c>
      <c r="C57" s="286" t="s">
        <v>18</v>
      </c>
      <c r="D57" s="61">
        <v>96</v>
      </c>
      <c r="E57" s="243">
        <f>1835*6</f>
        <v>11010</v>
      </c>
      <c r="F57" s="249">
        <f t="shared" si="3"/>
        <v>1056960</v>
      </c>
    </row>
    <row r="58" spans="1:6" ht="43.5" x14ac:dyDescent="0.25">
      <c r="A58" s="222">
        <f t="shared" si="2"/>
        <v>11</v>
      </c>
      <c r="B58" s="17" t="s">
        <v>82</v>
      </c>
      <c r="C58" s="286" t="s">
        <v>37</v>
      </c>
      <c r="D58" s="61">
        <v>44</v>
      </c>
      <c r="E58" s="243">
        <v>38925</v>
      </c>
      <c r="F58" s="249">
        <f t="shared" si="3"/>
        <v>1712700</v>
      </c>
    </row>
    <row r="59" spans="1:6" x14ac:dyDescent="0.25">
      <c r="A59" s="222">
        <f t="shared" si="2"/>
        <v>12</v>
      </c>
      <c r="B59" s="57" t="s">
        <v>83</v>
      </c>
      <c r="C59" s="286" t="s">
        <v>37</v>
      </c>
      <c r="D59" s="61">
        <v>1</v>
      </c>
      <c r="E59" s="243">
        <v>194622</v>
      </c>
      <c r="F59" s="249">
        <f t="shared" si="3"/>
        <v>194622</v>
      </c>
    </row>
    <row r="60" spans="1:6" ht="43.5" x14ac:dyDescent="0.25">
      <c r="A60" s="222">
        <f t="shared" si="2"/>
        <v>13</v>
      </c>
      <c r="B60" s="17" t="s">
        <v>159</v>
      </c>
      <c r="C60" s="286" t="s">
        <v>37</v>
      </c>
      <c r="D60" s="61">
        <v>1</v>
      </c>
      <c r="E60" s="243">
        <v>320000</v>
      </c>
      <c r="F60" s="249">
        <f t="shared" si="3"/>
        <v>320000</v>
      </c>
    </row>
    <row r="61" spans="1:6" x14ac:dyDescent="0.25">
      <c r="A61" s="222">
        <f t="shared" si="2"/>
        <v>14</v>
      </c>
      <c r="B61" s="55" t="s">
        <v>85</v>
      </c>
      <c r="C61" s="286" t="s">
        <v>23</v>
      </c>
      <c r="D61" s="61">
        <v>2</v>
      </c>
      <c r="E61" s="243">
        <v>83874</v>
      </c>
      <c r="F61" s="249">
        <f t="shared" si="3"/>
        <v>167748</v>
      </c>
    </row>
    <row r="62" spans="1:6" x14ac:dyDescent="0.25">
      <c r="A62" s="222">
        <f t="shared" si="2"/>
        <v>15</v>
      </c>
      <c r="B62" s="18" t="s">
        <v>43</v>
      </c>
      <c r="C62" s="20"/>
      <c r="D62" s="20"/>
      <c r="E62" s="243"/>
      <c r="F62" s="249">
        <v>0</v>
      </c>
    </row>
    <row r="63" spans="1:6" x14ac:dyDescent="0.25">
      <c r="A63" s="222">
        <f t="shared" si="2"/>
        <v>16</v>
      </c>
      <c r="B63" s="55" t="s">
        <v>44</v>
      </c>
      <c r="C63" s="286" t="s">
        <v>64</v>
      </c>
      <c r="D63" s="61">
        <v>10</v>
      </c>
      <c r="E63" s="243">
        <v>112055</v>
      </c>
      <c r="F63" s="249">
        <f t="shared" si="3"/>
        <v>1120550</v>
      </c>
    </row>
    <row r="64" spans="1:6" ht="29.25" x14ac:dyDescent="0.25">
      <c r="A64" s="222">
        <f t="shared" si="2"/>
        <v>17</v>
      </c>
      <c r="B64" s="17" t="s">
        <v>45</v>
      </c>
      <c r="C64" s="286" t="s">
        <v>64</v>
      </c>
      <c r="D64" s="61">
        <v>39</v>
      </c>
      <c r="E64" s="243">
        <v>20553</v>
      </c>
      <c r="F64" s="249">
        <f t="shared" si="3"/>
        <v>801567</v>
      </c>
    </row>
    <row r="65" spans="1:11" x14ac:dyDescent="0.25">
      <c r="A65" s="222">
        <f t="shared" si="2"/>
        <v>18</v>
      </c>
      <c r="B65" s="55" t="s">
        <v>273</v>
      </c>
      <c r="C65" s="286" t="s">
        <v>64</v>
      </c>
      <c r="D65" s="61">
        <v>25</v>
      </c>
      <c r="E65" s="243">
        <v>134520</v>
      </c>
      <c r="F65" s="249">
        <f t="shared" si="3"/>
        <v>3363000</v>
      </c>
    </row>
    <row r="66" spans="1:11" x14ac:dyDescent="0.25">
      <c r="A66" s="222">
        <f t="shared" si="2"/>
        <v>19</v>
      </c>
      <c r="B66" s="18" t="s">
        <v>48</v>
      </c>
      <c r="C66" s="20"/>
      <c r="D66" s="20"/>
      <c r="E66" s="243"/>
      <c r="F66" s="249">
        <v>0</v>
      </c>
    </row>
    <row r="67" spans="1:11" ht="29.25" x14ac:dyDescent="0.25">
      <c r="A67" s="222">
        <f t="shared" si="2"/>
        <v>20</v>
      </c>
      <c r="B67" s="17" t="s">
        <v>86</v>
      </c>
      <c r="C67" s="286" t="s">
        <v>64</v>
      </c>
      <c r="D67" s="61">
        <v>1</v>
      </c>
      <c r="E67" s="243">
        <v>562312</v>
      </c>
      <c r="F67" s="249">
        <f t="shared" si="3"/>
        <v>562312</v>
      </c>
    </row>
    <row r="68" spans="1:11" ht="29.25" x14ac:dyDescent="0.25">
      <c r="A68" s="222">
        <f t="shared" si="2"/>
        <v>21</v>
      </c>
      <c r="B68" s="17" t="s">
        <v>50</v>
      </c>
      <c r="C68" s="286" t="s">
        <v>64</v>
      </c>
      <c r="D68" s="61">
        <v>18</v>
      </c>
      <c r="E68" s="243">
        <v>763644</v>
      </c>
      <c r="F68" s="249">
        <f t="shared" si="3"/>
        <v>13745592</v>
      </c>
    </row>
    <row r="69" spans="1:11" x14ac:dyDescent="0.25">
      <c r="A69" s="222">
        <f t="shared" si="2"/>
        <v>22</v>
      </c>
      <c r="B69" s="18" t="s">
        <v>51</v>
      </c>
      <c r="C69" s="20"/>
      <c r="D69" s="20"/>
      <c r="E69" s="243"/>
      <c r="F69" s="249">
        <v>0</v>
      </c>
    </row>
    <row r="70" spans="1:11" x14ac:dyDescent="0.25">
      <c r="A70" s="222">
        <f t="shared" si="2"/>
        <v>23</v>
      </c>
      <c r="B70" s="55" t="s">
        <v>88</v>
      </c>
      <c r="C70" s="286" t="s">
        <v>53</v>
      </c>
      <c r="D70" s="61">
        <v>36</v>
      </c>
      <c r="E70" s="243">
        <v>5484</v>
      </c>
      <c r="F70" s="249">
        <f t="shared" si="3"/>
        <v>197424</v>
      </c>
      <c r="K70" s="80"/>
    </row>
    <row r="71" spans="1:11" x14ac:dyDescent="0.25">
      <c r="A71" s="219"/>
      <c r="B71" s="18" t="s">
        <v>56</v>
      </c>
      <c r="C71" s="54"/>
      <c r="D71" s="130"/>
      <c r="E71" s="28"/>
      <c r="F71" s="28">
        <f>ROUND((F70+F69+F68+F67+F66+F65+F64+F63+F62+F61+F60+F59+F58+F57+F56+F55+F54+F53+F52+F51+F50+F49),0)</f>
        <v>32424300</v>
      </c>
    </row>
    <row r="72" spans="1:11" x14ac:dyDescent="0.25">
      <c r="A72" s="19"/>
      <c r="B72" s="19" t="s">
        <v>60</v>
      </c>
      <c r="C72" s="19"/>
      <c r="D72" s="19"/>
      <c r="E72" s="19"/>
      <c r="F72" s="29">
        <f>ROUND(F71/1.3495,0)</f>
        <v>24026899</v>
      </c>
    </row>
    <row r="73" spans="1:11" x14ac:dyDescent="0.25">
      <c r="A73" s="19"/>
      <c r="B73" s="19" t="s">
        <v>61</v>
      </c>
      <c r="C73" s="131">
        <v>0.24</v>
      </c>
      <c r="D73" s="19"/>
      <c r="E73" s="19"/>
      <c r="F73" s="29">
        <f>ROUND(F72*C73,0)</f>
        <v>5766456</v>
      </c>
    </row>
    <row r="74" spans="1:11" x14ac:dyDescent="0.25">
      <c r="A74" s="19"/>
      <c r="B74" s="19" t="s">
        <v>57</v>
      </c>
      <c r="C74" s="131">
        <v>0.05</v>
      </c>
      <c r="D74" s="19"/>
      <c r="E74" s="19"/>
      <c r="F74" s="29">
        <f>ROUND(F72*C74,0)</f>
        <v>1201345</v>
      </c>
    </row>
    <row r="75" spans="1:11" x14ac:dyDescent="0.25">
      <c r="A75" s="19"/>
      <c r="B75" s="19" t="s">
        <v>62</v>
      </c>
      <c r="C75" s="131">
        <v>0.05</v>
      </c>
      <c r="D75" s="19"/>
      <c r="E75" s="19"/>
      <c r="F75" s="29">
        <f>ROUND(F72*C75,0)</f>
        <v>1201345</v>
      </c>
    </row>
    <row r="76" spans="1:11" x14ac:dyDescent="0.25">
      <c r="A76" s="19"/>
      <c r="B76" s="132" t="s">
        <v>63</v>
      </c>
      <c r="C76" s="133">
        <v>0.19</v>
      </c>
      <c r="D76" s="120"/>
      <c r="E76" s="120"/>
      <c r="F76" s="35">
        <f>ROUND(F75*19%,0)</f>
        <v>228256</v>
      </c>
    </row>
    <row r="77" spans="1:11" x14ac:dyDescent="0.25">
      <c r="A77" s="19"/>
      <c r="B77" s="18" t="s">
        <v>56</v>
      </c>
      <c r="C77" s="19"/>
      <c r="D77" s="19"/>
      <c r="E77" s="19"/>
      <c r="F77" s="30">
        <f>SUM(F72:F76)</f>
        <v>32424301</v>
      </c>
    </row>
    <row r="79" spans="1:11" x14ac:dyDescent="0.25">
      <c r="A79" s="456" t="s">
        <v>278</v>
      </c>
      <c r="B79" s="456"/>
      <c r="C79" s="456"/>
      <c r="D79" s="456"/>
      <c r="E79" s="456"/>
      <c r="F79" s="456"/>
    </row>
    <row r="80" spans="1:11" x14ac:dyDescent="0.25">
      <c r="A80" s="219" t="s">
        <v>10</v>
      </c>
      <c r="B80" s="219" t="s">
        <v>0</v>
      </c>
      <c r="C80" s="219" t="s">
        <v>11</v>
      </c>
      <c r="D80" s="54" t="s">
        <v>13</v>
      </c>
      <c r="E80" s="54" t="s">
        <v>14</v>
      </c>
      <c r="F80" s="54" t="s">
        <v>15</v>
      </c>
    </row>
    <row r="81" spans="1:11" x14ac:dyDescent="0.25">
      <c r="A81" s="222">
        <v>1</v>
      </c>
      <c r="B81" s="18" t="s">
        <v>16</v>
      </c>
      <c r="C81" s="420"/>
      <c r="D81" s="420"/>
      <c r="E81" s="420"/>
      <c r="F81" s="20"/>
    </row>
    <row r="82" spans="1:11" ht="29.25" x14ac:dyDescent="0.25">
      <c r="A82" s="222">
        <f t="shared" ref="A82:A114" si="4">A81+1</f>
        <v>2</v>
      </c>
      <c r="B82" s="17" t="s">
        <v>17</v>
      </c>
      <c r="C82" s="286" t="s">
        <v>18</v>
      </c>
      <c r="D82" s="61">
        <v>396</v>
      </c>
      <c r="E82" s="242">
        <v>5214</v>
      </c>
      <c r="F82" s="249">
        <f t="shared" ref="F82:F114" si="5">ROUND(D82*E82,0)</f>
        <v>2064744</v>
      </c>
    </row>
    <row r="83" spans="1:11" ht="43.5" x14ac:dyDescent="0.25">
      <c r="A83" s="222">
        <f>A82+1</f>
        <v>3</v>
      </c>
      <c r="B83" s="17" t="s">
        <v>21</v>
      </c>
      <c r="C83" s="286" t="s">
        <v>18</v>
      </c>
      <c r="D83" s="61">
        <v>804</v>
      </c>
      <c r="E83" s="289">
        <v>13608</v>
      </c>
      <c r="F83" s="249">
        <f t="shared" si="5"/>
        <v>10940832</v>
      </c>
    </row>
    <row r="84" spans="1:11" x14ac:dyDescent="0.25">
      <c r="A84" s="222">
        <f t="shared" si="4"/>
        <v>4</v>
      </c>
      <c r="B84" s="55" t="s">
        <v>22</v>
      </c>
      <c r="C84" s="286" t="s">
        <v>120</v>
      </c>
      <c r="D84" s="61">
        <v>11</v>
      </c>
      <c r="E84" s="289">
        <v>155349</v>
      </c>
      <c r="F84" s="249">
        <f t="shared" si="5"/>
        <v>1708839</v>
      </c>
      <c r="K84" s="80"/>
    </row>
    <row r="85" spans="1:11" x14ac:dyDescent="0.25">
      <c r="A85" s="222">
        <f t="shared" si="4"/>
        <v>5</v>
      </c>
      <c r="B85" s="18" t="s">
        <v>25</v>
      </c>
      <c r="C85" s="20"/>
      <c r="D85" s="20"/>
      <c r="E85" s="289">
        <v>0</v>
      </c>
      <c r="F85" s="249">
        <f t="shared" si="5"/>
        <v>0</v>
      </c>
    </row>
    <row r="86" spans="1:11" x14ac:dyDescent="0.25">
      <c r="A86" s="222">
        <f t="shared" si="4"/>
        <v>6</v>
      </c>
      <c r="B86" s="56" t="s">
        <v>26</v>
      </c>
      <c r="C86" s="286" t="s">
        <v>18</v>
      </c>
      <c r="D86" s="61">
        <v>1192</v>
      </c>
      <c r="E86" s="289">
        <v>7630</v>
      </c>
      <c r="F86" s="249">
        <f t="shared" si="5"/>
        <v>9094960</v>
      </c>
    </row>
    <row r="87" spans="1:11" ht="43.5" x14ac:dyDescent="0.25">
      <c r="A87" s="222">
        <f t="shared" si="4"/>
        <v>7</v>
      </c>
      <c r="B87" s="17" t="s">
        <v>27</v>
      </c>
      <c r="C87" s="286" t="s">
        <v>64</v>
      </c>
      <c r="D87" s="61">
        <v>94</v>
      </c>
      <c r="E87" s="289">
        <v>83312</v>
      </c>
      <c r="F87" s="249">
        <f t="shared" si="5"/>
        <v>7831328</v>
      </c>
    </row>
    <row r="88" spans="1:11" x14ac:dyDescent="0.25">
      <c r="A88" s="222">
        <f t="shared" si="4"/>
        <v>8</v>
      </c>
      <c r="B88" s="18" t="s">
        <v>28</v>
      </c>
      <c r="C88" s="20"/>
      <c r="D88" s="20"/>
      <c r="E88" s="289">
        <v>0</v>
      </c>
      <c r="F88" s="249">
        <f t="shared" si="5"/>
        <v>0</v>
      </c>
    </row>
    <row r="89" spans="1:11" x14ac:dyDescent="0.25">
      <c r="A89" s="222">
        <f t="shared" si="4"/>
        <v>9</v>
      </c>
      <c r="B89" s="55" t="s">
        <v>29</v>
      </c>
      <c r="C89" s="286" t="s">
        <v>64</v>
      </c>
      <c r="D89" s="61">
        <v>1140</v>
      </c>
      <c r="E89" s="289">
        <v>26317</v>
      </c>
      <c r="F89" s="249">
        <f t="shared" si="5"/>
        <v>30001380</v>
      </c>
    </row>
    <row r="90" spans="1:11" x14ac:dyDescent="0.25">
      <c r="A90" s="222">
        <f t="shared" si="4"/>
        <v>10</v>
      </c>
      <c r="B90" s="55" t="s">
        <v>30</v>
      </c>
      <c r="C90" s="286" t="s">
        <v>64</v>
      </c>
      <c r="D90" s="61">
        <v>320</v>
      </c>
      <c r="E90" s="289">
        <v>30682</v>
      </c>
      <c r="F90" s="249">
        <f t="shared" si="5"/>
        <v>9818240</v>
      </c>
    </row>
    <row r="91" spans="1:11" x14ac:dyDescent="0.25">
      <c r="A91" s="222">
        <f t="shared" si="4"/>
        <v>11</v>
      </c>
      <c r="B91" s="55" t="s">
        <v>31</v>
      </c>
      <c r="C91" s="286" t="s">
        <v>18</v>
      </c>
      <c r="D91" s="61">
        <f>198+96+120</f>
        <v>414</v>
      </c>
      <c r="E91" s="289">
        <v>31128</v>
      </c>
      <c r="F91" s="249">
        <f t="shared" si="5"/>
        <v>12886992</v>
      </c>
    </row>
    <row r="92" spans="1:11" ht="29.25" x14ac:dyDescent="0.25">
      <c r="A92" s="222">
        <f t="shared" si="4"/>
        <v>12</v>
      </c>
      <c r="B92" s="17" t="s">
        <v>279</v>
      </c>
      <c r="C92" s="286" t="s">
        <v>64</v>
      </c>
      <c r="D92" s="61">
        <v>362</v>
      </c>
      <c r="E92" s="289">
        <v>32749</v>
      </c>
      <c r="F92" s="249">
        <f t="shared" si="5"/>
        <v>11855138</v>
      </c>
    </row>
    <row r="93" spans="1:11" x14ac:dyDescent="0.25">
      <c r="A93" s="222">
        <f t="shared" si="4"/>
        <v>13</v>
      </c>
      <c r="B93" s="18" t="s">
        <v>33</v>
      </c>
      <c r="C93" s="20"/>
      <c r="D93" s="20"/>
      <c r="E93" s="289">
        <v>0</v>
      </c>
      <c r="F93" s="249">
        <f t="shared" si="5"/>
        <v>0</v>
      </c>
    </row>
    <row r="94" spans="1:11" ht="29.25" x14ac:dyDescent="0.25">
      <c r="A94" s="222">
        <f t="shared" si="4"/>
        <v>14</v>
      </c>
      <c r="B94" s="17" t="s">
        <v>66</v>
      </c>
      <c r="C94" s="286" t="s">
        <v>18</v>
      </c>
      <c r="D94" s="61">
        <f>96+102</f>
        <v>198</v>
      </c>
      <c r="E94" s="289">
        <f>1981*12</f>
        <v>23772</v>
      </c>
      <c r="F94" s="249">
        <f t="shared" si="5"/>
        <v>4706856</v>
      </c>
    </row>
    <row r="95" spans="1:11" ht="29.25" x14ac:dyDescent="0.25">
      <c r="A95" s="222">
        <f t="shared" si="4"/>
        <v>15</v>
      </c>
      <c r="B95" s="17" t="s">
        <v>271</v>
      </c>
      <c r="C95" s="286" t="s">
        <v>18</v>
      </c>
      <c r="D95" s="61">
        <v>96</v>
      </c>
      <c r="E95" s="289">
        <f>1981*16</f>
        <v>31696</v>
      </c>
      <c r="F95" s="249">
        <f t="shared" si="5"/>
        <v>3042816</v>
      </c>
    </row>
    <row r="96" spans="1:11" ht="29.25" x14ac:dyDescent="0.25">
      <c r="A96" s="222">
        <f t="shared" si="4"/>
        <v>16</v>
      </c>
      <c r="B96" s="17" t="s">
        <v>280</v>
      </c>
      <c r="C96" s="286" t="s">
        <v>18</v>
      </c>
      <c r="D96" s="61">
        <v>104</v>
      </c>
      <c r="E96" s="289">
        <f>1981*24</f>
        <v>47544</v>
      </c>
      <c r="F96" s="249">
        <f t="shared" si="5"/>
        <v>4944576</v>
      </c>
    </row>
    <row r="97" spans="1:6" ht="57" x14ac:dyDescent="0.25">
      <c r="A97" s="222">
        <f t="shared" si="4"/>
        <v>17</v>
      </c>
      <c r="B97" s="57" t="s">
        <v>35</v>
      </c>
      <c r="C97" s="286" t="s">
        <v>18</v>
      </c>
      <c r="D97" s="61">
        <v>3</v>
      </c>
      <c r="E97" s="289">
        <v>637411</v>
      </c>
      <c r="F97" s="249">
        <f t="shared" si="5"/>
        <v>1912233</v>
      </c>
    </row>
    <row r="98" spans="1:6" ht="43.5" x14ac:dyDescent="0.25">
      <c r="A98" s="222">
        <f t="shared" si="4"/>
        <v>18</v>
      </c>
      <c r="B98" s="17" t="s">
        <v>74</v>
      </c>
      <c r="C98" s="286" t="s">
        <v>37</v>
      </c>
      <c r="D98" s="61">
        <v>6</v>
      </c>
      <c r="E98" s="289">
        <v>920000</v>
      </c>
      <c r="F98" s="249">
        <f t="shared" si="5"/>
        <v>5520000</v>
      </c>
    </row>
    <row r="99" spans="1:6" x14ac:dyDescent="0.25">
      <c r="A99" s="222">
        <f t="shared" si="4"/>
        <v>19</v>
      </c>
      <c r="B99" s="55" t="s">
        <v>38</v>
      </c>
      <c r="C99" s="286" t="s">
        <v>37</v>
      </c>
      <c r="D99" s="61">
        <v>6</v>
      </c>
      <c r="E99" s="289">
        <v>540447</v>
      </c>
      <c r="F99" s="249">
        <f t="shared" si="5"/>
        <v>3242682</v>
      </c>
    </row>
    <row r="100" spans="1:6" ht="43.5" x14ac:dyDescent="0.25">
      <c r="A100" s="222">
        <f t="shared" si="4"/>
        <v>20</v>
      </c>
      <c r="B100" s="17" t="s">
        <v>39</v>
      </c>
      <c r="C100" s="286" t="s">
        <v>18</v>
      </c>
      <c r="D100" s="61">
        <v>276</v>
      </c>
      <c r="E100" s="289">
        <v>13802</v>
      </c>
      <c r="F100" s="249">
        <f t="shared" si="5"/>
        <v>3809352</v>
      </c>
    </row>
    <row r="101" spans="1:6" ht="42.75" x14ac:dyDescent="0.25">
      <c r="A101" s="222">
        <f t="shared" si="4"/>
        <v>21</v>
      </c>
      <c r="B101" s="9" t="s">
        <v>40</v>
      </c>
      <c r="C101" s="286" t="s">
        <v>120</v>
      </c>
      <c r="D101" s="61">
        <v>46</v>
      </c>
      <c r="E101" s="289">
        <v>399818</v>
      </c>
      <c r="F101" s="249">
        <f t="shared" si="5"/>
        <v>18391628</v>
      </c>
    </row>
    <row r="102" spans="1:6" x14ac:dyDescent="0.25">
      <c r="A102" s="222">
        <f t="shared" si="4"/>
        <v>22</v>
      </c>
      <c r="B102" s="55" t="s">
        <v>67</v>
      </c>
      <c r="C102" s="286" t="s">
        <v>120</v>
      </c>
      <c r="D102" s="61">
        <v>28</v>
      </c>
      <c r="E102" s="289">
        <f>3623*12</f>
        <v>43476</v>
      </c>
      <c r="F102" s="249">
        <f t="shared" si="5"/>
        <v>1217328</v>
      </c>
    </row>
    <row r="103" spans="1:6" x14ac:dyDescent="0.25">
      <c r="A103" s="222">
        <f t="shared" si="4"/>
        <v>23</v>
      </c>
      <c r="B103" s="55" t="s">
        <v>281</v>
      </c>
      <c r="C103" s="286" t="s">
        <v>120</v>
      </c>
      <c r="D103" s="61">
        <v>7</v>
      </c>
      <c r="E103" s="289">
        <f>3623*16</f>
        <v>57968</v>
      </c>
      <c r="F103" s="249">
        <f t="shared" si="5"/>
        <v>405776</v>
      </c>
    </row>
    <row r="104" spans="1:6" x14ac:dyDescent="0.25">
      <c r="A104" s="222">
        <f t="shared" si="4"/>
        <v>24</v>
      </c>
      <c r="B104" s="55" t="s">
        <v>282</v>
      </c>
      <c r="C104" s="286" t="s">
        <v>120</v>
      </c>
      <c r="D104" s="61">
        <v>11</v>
      </c>
      <c r="E104" s="289">
        <f>3623*24</f>
        <v>86952</v>
      </c>
      <c r="F104" s="249">
        <f t="shared" si="5"/>
        <v>956472</v>
      </c>
    </row>
    <row r="105" spans="1:6" x14ac:dyDescent="0.25">
      <c r="A105" s="222">
        <f t="shared" si="4"/>
        <v>25</v>
      </c>
      <c r="B105" s="55" t="s">
        <v>42</v>
      </c>
      <c r="C105" s="286" t="s">
        <v>120</v>
      </c>
      <c r="D105" s="61">
        <v>8</v>
      </c>
      <c r="E105" s="289">
        <v>90312</v>
      </c>
      <c r="F105" s="249">
        <f t="shared" si="5"/>
        <v>722496</v>
      </c>
    </row>
    <row r="106" spans="1:6" x14ac:dyDescent="0.25">
      <c r="A106" s="222">
        <f t="shared" si="4"/>
        <v>26</v>
      </c>
      <c r="B106" s="18" t="s">
        <v>43</v>
      </c>
      <c r="C106" s="20"/>
      <c r="D106" s="20"/>
      <c r="E106" s="289"/>
      <c r="F106" s="249">
        <f t="shared" si="5"/>
        <v>0</v>
      </c>
    </row>
    <row r="107" spans="1:6" x14ac:dyDescent="0.25">
      <c r="A107" s="222">
        <f t="shared" si="4"/>
        <v>27</v>
      </c>
      <c r="B107" s="55" t="s">
        <v>44</v>
      </c>
      <c r="C107" s="286" t="s">
        <v>64</v>
      </c>
      <c r="D107" s="61">
        <v>74</v>
      </c>
      <c r="E107" s="289">
        <v>120657</v>
      </c>
      <c r="F107" s="249">
        <f t="shared" si="5"/>
        <v>8928618</v>
      </c>
    </row>
    <row r="108" spans="1:6" ht="29.25" x14ac:dyDescent="0.25">
      <c r="A108" s="222">
        <f t="shared" si="4"/>
        <v>28</v>
      </c>
      <c r="B108" s="17" t="s">
        <v>45</v>
      </c>
      <c r="C108" s="286" t="s">
        <v>64</v>
      </c>
      <c r="D108" s="61">
        <v>1202</v>
      </c>
      <c r="E108" s="289">
        <v>22131</v>
      </c>
      <c r="F108" s="249">
        <f t="shared" si="5"/>
        <v>26601462</v>
      </c>
    </row>
    <row r="109" spans="1:6" x14ac:dyDescent="0.25">
      <c r="A109" s="222">
        <f t="shared" si="4"/>
        <v>29</v>
      </c>
      <c r="B109" s="55" t="s">
        <v>46</v>
      </c>
      <c r="C109" s="286" t="s">
        <v>64</v>
      </c>
      <c r="D109" s="61">
        <v>2</v>
      </c>
      <c r="E109" s="289">
        <v>144847</v>
      </c>
      <c r="F109" s="249">
        <f t="shared" si="5"/>
        <v>289694</v>
      </c>
    </row>
    <row r="110" spans="1:6" x14ac:dyDescent="0.25">
      <c r="A110" s="222">
        <f t="shared" si="4"/>
        <v>30</v>
      </c>
      <c r="B110" s="18" t="s">
        <v>48</v>
      </c>
      <c r="C110" s="20"/>
      <c r="D110" s="20"/>
      <c r="E110" s="289">
        <v>0</v>
      </c>
      <c r="F110" s="249">
        <f t="shared" si="5"/>
        <v>0</v>
      </c>
    </row>
    <row r="111" spans="1:6" ht="29.25" x14ac:dyDescent="0.25">
      <c r="A111" s="222">
        <f t="shared" si="4"/>
        <v>31</v>
      </c>
      <c r="B111" s="17" t="s">
        <v>49</v>
      </c>
      <c r="C111" s="286" t="s">
        <v>64</v>
      </c>
      <c r="D111" s="61">
        <v>1</v>
      </c>
      <c r="E111" s="289">
        <v>605480</v>
      </c>
      <c r="F111" s="249">
        <f t="shared" si="5"/>
        <v>605480</v>
      </c>
    </row>
    <row r="112" spans="1:6" ht="29.25" x14ac:dyDescent="0.25">
      <c r="A112" s="222">
        <f t="shared" si="4"/>
        <v>32</v>
      </c>
      <c r="B112" s="17" t="s">
        <v>50</v>
      </c>
      <c r="C112" s="286" t="s">
        <v>64</v>
      </c>
      <c r="D112" s="61">
        <v>2</v>
      </c>
      <c r="E112" s="289">
        <v>822268</v>
      </c>
      <c r="F112" s="249">
        <f t="shared" si="5"/>
        <v>1644536</v>
      </c>
    </row>
    <row r="113" spans="1:11" x14ac:dyDescent="0.25">
      <c r="A113" s="222">
        <f t="shared" si="4"/>
        <v>33</v>
      </c>
      <c r="B113" s="18" t="s">
        <v>51</v>
      </c>
      <c r="C113" s="20"/>
      <c r="D113" s="20"/>
      <c r="E113" s="289"/>
      <c r="F113" s="249">
        <f t="shared" si="5"/>
        <v>0</v>
      </c>
    </row>
    <row r="114" spans="1:11" x14ac:dyDescent="0.25">
      <c r="A114" s="222">
        <f t="shared" si="4"/>
        <v>34</v>
      </c>
      <c r="B114" s="55" t="s">
        <v>52</v>
      </c>
      <c r="C114" s="286" t="s">
        <v>53</v>
      </c>
      <c r="D114" s="61">
        <v>180</v>
      </c>
      <c r="E114" s="289">
        <v>5922</v>
      </c>
      <c r="F114" s="249">
        <f t="shared" si="5"/>
        <v>1065960</v>
      </c>
      <c r="K114" s="80"/>
    </row>
    <row r="115" spans="1:11" x14ac:dyDescent="0.25">
      <c r="A115" s="219"/>
      <c r="B115" s="18" t="s">
        <v>56</v>
      </c>
      <c r="C115" s="54"/>
      <c r="D115" s="130"/>
      <c r="E115" s="28"/>
      <c r="F115" s="28">
        <f>ROUND((F114+F113+F112+F111+F110+F109+F108+F107+F106+F105+F104+F103+F102+F101+F100+F99+F98+F97+F96+F95+F94+F93+F92+F91+F90+F89+F87+F86+F84+F83+F82),0)</f>
        <v>184210418</v>
      </c>
    </row>
    <row r="116" spans="1:11" x14ac:dyDescent="0.25">
      <c r="A116" s="19"/>
      <c r="B116" s="19" t="s">
        <v>60</v>
      </c>
      <c r="C116" s="19"/>
      <c r="D116" s="19"/>
      <c r="E116" s="19"/>
      <c r="F116" s="29">
        <f>ROUND(F115/1.3495,0)</f>
        <v>136502718</v>
      </c>
    </row>
    <row r="117" spans="1:11" x14ac:dyDescent="0.25">
      <c r="A117" s="19"/>
      <c r="B117" s="19" t="s">
        <v>61</v>
      </c>
      <c r="C117" s="131">
        <v>0.24</v>
      </c>
      <c r="D117" s="19"/>
      <c r="E117" s="19"/>
      <c r="F117" s="29">
        <f>ROUND(F116*C117,0)</f>
        <v>32760652</v>
      </c>
    </row>
    <row r="118" spans="1:11" x14ac:dyDescent="0.25">
      <c r="A118" s="19"/>
      <c r="B118" s="19" t="s">
        <v>57</v>
      </c>
      <c r="C118" s="131">
        <v>0.05</v>
      </c>
      <c r="D118" s="19"/>
      <c r="E118" s="19"/>
      <c r="F118" s="29">
        <f>ROUND(F116*C118,0)</f>
        <v>6825136</v>
      </c>
    </row>
    <row r="119" spans="1:11" x14ac:dyDescent="0.25">
      <c r="A119" s="19"/>
      <c r="B119" s="19" t="s">
        <v>62</v>
      </c>
      <c r="C119" s="131">
        <v>0.05</v>
      </c>
      <c r="D119" s="19"/>
      <c r="E119" s="19"/>
      <c r="F119" s="29">
        <f>ROUND(F116*C119,0)</f>
        <v>6825136</v>
      </c>
    </row>
    <row r="120" spans="1:11" x14ac:dyDescent="0.25">
      <c r="A120" s="19"/>
      <c r="B120" s="132" t="s">
        <v>63</v>
      </c>
      <c r="C120" s="133">
        <v>0.19</v>
      </c>
      <c r="D120" s="120"/>
      <c r="E120" s="120"/>
      <c r="F120" s="35">
        <f>ROUND(F119*19%,0)</f>
        <v>1296776</v>
      </c>
    </row>
    <row r="121" spans="1:11" x14ac:dyDescent="0.25">
      <c r="A121" s="19"/>
      <c r="B121" s="18" t="s">
        <v>56</v>
      </c>
      <c r="C121" s="19"/>
      <c r="D121" s="19"/>
      <c r="E121" s="19"/>
      <c r="F121" s="30">
        <f>SUM(F116:F120)</f>
        <v>184210418</v>
      </c>
    </row>
    <row r="123" spans="1:11" x14ac:dyDescent="0.25">
      <c r="A123" s="422" t="s">
        <v>283</v>
      </c>
      <c r="B123" s="422"/>
      <c r="C123" s="422"/>
      <c r="D123" s="422"/>
      <c r="E123" s="422"/>
      <c r="F123" s="422"/>
    </row>
    <row r="124" spans="1:11" x14ac:dyDescent="0.25">
      <c r="A124" s="219" t="s">
        <v>10</v>
      </c>
      <c r="B124" s="219" t="s">
        <v>0</v>
      </c>
      <c r="C124" s="219" t="s">
        <v>11</v>
      </c>
      <c r="D124" s="54" t="s">
        <v>13</v>
      </c>
      <c r="E124" s="54" t="s">
        <v>14</v>
      </c>
      <c r="F124" s="54" t="s">
        <v>15</v>
      </c>
    </row>
    <row r="125" spans="1:11" x14ac:dyDescent="0.25">
      <c r="A125" s="222">
        <v>1</v>
      </c>
      <c r="B125" s="18" t="s">
        <v>16</v>
      </c>
      <c r="C125" s="420"/>
      <c r="D125" s="420"/>
      <c r="E125" s="420"/>
      <c r="F125" s="20"/>
    </row>
    <row r="126" spans="1:11" ht="29.25" x14ac:dyDescent="0.25">
      <c r="A126" s="222">
        <f t="shared" ref="A126:A148" si="6">A125+1</f>
        <v>2</v>
      </c>
      <c r="B126" s="17" t="s">
        <v>17</v>
      </c>
      <c r="C126" s="286" t="s">
        <v>18</v>
      </c>
      <c r="D126" s="61">
        <v>480</v>
      </c>
      <c r="E126" s="243">
        <v>5230</v>
      </c>
      <c r="F126" s="249">
        <f t="shared" ref="F126:F148" si="7">ROUND(D126*E126,0)</f>
        <v>2510400</v>
      </c>
    </row>
    <row r="127" spans="1:11" x14ac:dyDescent="0.25">
      <c r="A127" s="222">
        <f>A126+1</f>
        <v>3</v>
      </c>
      <c r="B127" s="55" t="s">
        <v>22</v>
      </c>
      <c r="C127" s="286" t="s">
        <v>120</v>
      </c>
      <c r="D127" s="61">
        <v>11</v>
      </c>
      <c r="E127" s="243">
        <v>155814</v>
      </c>
      <c r="F127" s="249">
        <f t="shared" si="7"/>
        <v>1713954</v>
      </c>
    </row>
    <row r="128" spans="1:11" x14ac:dyDescent="0.25">
      <c r="A128" s="222">
        <f t="shared" si="6"/>
        <v>4</v>
      </c>
      <c r="B128" s="18" t="s">
        <v>25</v>
      </c>
      <c r="C128" s="20"/>
      <c r="D128" s="20"/>
      <c r="E128" s="243">
        <v>0</v>
      </c>
      <c r="F128" s="249">
        <f t="shared" si="7"/>
        <v>0</v>
      </c>
    </row>
    <row r="129" spans="1:6" x14ac:dyDescent="0.25">
      <c r="A129" s="222">
        <f t="shared" si="6"/>
        <v>5</v>
      </c>
      <c r="B129" s="56" t="s">
        <v>26</v>
      </c>
      <c r="C129" s="286" t="s">
        <v>18</v>
      </c>
      <c r="D129" s="61">
        <v>1680</v>
      </c>
      <c r="E129" s="243">
        <v>7652</v>
      </c>
      <c r="F129" s="249">
        <f t="shared" si="7"/>
        <v>12855360</v>
      </c>
    </row>
    <row r="130" spans="1:6" ht="43.5" x14ac:dyDescent="0.25">
      <c r="A130" s="222">
        <f t="shared" si="6"/>
        <v>6</v>
      </c>
      <c r="B130" s="17" t="s">
        <v>27</v>
      </c>
      <c r="C130" s="286" t="s">
        <v>64</v>
      </c>
      <c r="D130" s="61">
        <v>52</v>
      </c>
      <c r="E130" s="243">
        <v>83560</v>
      </c>
      <c r="F130" s="249">
        <f t="shared" si="7"/>
        <v>4345120</v>
      </c>
    </row>
    <row r="131" spans="1:6" x14ac:dyDescent="0.25">
      <c r="A131" s="222">
        <f t="shared" si="6"/>
        <v>7</v>
      </c>
      <c r="B131" s="18" t="s">
        <v>28</v>
      </c>
      <c r="C131" s="20"/>
      <c r="D131" s="20"/>
      <c r="E131" s="243">
        <v>0</v>
      </c>
      <c r="F131" s="249">
        <f t="shared" si="7"/>
        <v>0</v>
      </c>
    </row>
    <row r="132" spans="1:6" x14ac:dyDescent="0.25">
      <c r="A132" s="222">
        <f t="shared" si="6"/>
        <v>8</v>
      </c>
      <c r="B132" s="55" t="s">
        <v>29</v>
      </c>
      <c r="C132" s="286" t="s">
        <v>64</v>
      </c>
      <c r="D132" s="61">
        <v>294</v>
      </c>
      <c r="E132" s="243">
        <v>26395</v>
      </c>
      <c r="F132" s="249">
        <f t="shared" si="7"/>
        <v>7760130</v>
      </c>
    </row>
    <row r="133" spans="1:6" ht="29.25" x14ac:dyDescent="0.25">
      <c r="A133" s="222">
        <f t="shared" si="6"/>
        <v>9</v>
      </c>
      <c r="B133" s="17" t="s">
        <v>279</v>
      </c>
      <c r="C133" s="286" t="s">
        <v>64</v>
      </c>
      <c r="D133" s="61">
        <v>197</v>
      </c>
      <c r="E133" s="243">
        <v>32848</v>
      </c>
      <c r="F133" s="249">
        <f t="shared" si="7"/>
        <v>6471056</v>
      </c>
    </row>
    <row r="134" spans="1:6" x14ac:dyDescent="0.25">
      <c r="A134" s="222">
        <f t="shared" si="6"/>
        <v>10</v>
      </c>
      <c r="B134" s="18" t="s">
        <v>80</v>
      </c>
      <c r="C134" s="20"/>
      <c r="D134" s="20"/>
      <c r="E134" s="243">
        <v>0</v>
      </c>
      <c r="F134" s="249">
        <f t="shared" si="7"/>
        <v>0</v>
      </c>
    </row>
    <row r="135" spans="1:6" x14ac:dyDescent="0.25">
      <c r="A135" s="222">
        <f t="shared" si="6"/>
        <v>11</v>
      </c>
      <c r="B135" s="55" t="s">
        <v>284</v>
      </c>
      <c r="C135" s="286" t="s">
        <v>18</v>
      </c>
      <c r="D135" s="61">
        <v>480</v>
      </c>
      <c r="E135" s="243">
        <v>5945</v>
      </c>
      <c r="F135" s="249">
        <f t="shared" si="7"/>
        <v>2853600</v>
      </c>
    </row>
    <row r="136" spans="1:6" ht="43.5" x14ac:dyDescent="0.25">
      <c r="A136" s="222">
        <f t="shared" si="6"/>
        <v>12</v>
      </c>
      <c r="B136" s="17" t="s">
        <v>285</v>
      </c>
      <c r="C136" s="286" t="s">
        <v>37</v>
      </c>
      <c r="D136" s="61">
        <v>60</v>
      </c>
      <c r="E136" s="243">
        <v>42039</v>
      </c>
      <c r="F136" s="249">
        <f t="shared" si="7"/>
        <v>2522340</v>
      </c>
    </row>
    <row r="137" spans="1:6" x14ac:dyDescent="0.25">
      <c r="A137" s="222">
        <f t="shared" si="6"/>
        <v>13</v>
      </c>
      <c r="B137" s="57" t="s">
        <v>286</v>
      </c>
      <c r="C137" s="286" t="s">
        <v>37</v>
      </c>
      <c r="D137" s="61">
        <v>4</v>
      </c>
      <c r="E137" s="243">
        <v>210191</v>
      </c>
      <c r="F137" s="249">
        <f t="shared" si="7"/>
        <v>840764</v>
      </c>
    </row>
    <row r="138" spans="1:6" ht="57.75" x14ac:dyDescent="0.25">
      <c r="A138" s="222">
        <f t="shared" si="6"/>
        <v>14</v>
      </c>
      <c r="B138" s="17" t="s">
        <v>287</v>
      </c>
      <c r="C138" s="286" t="s">
        <v>37</v>
      </c>
      <c r="D138" s="61">
        <v>4</v>
      </c>
      <c r="E138" s="243">
        <v>345600</v>
      </c>
      <c r="F138" s="249">
        <f t="shared" si="7"/>
        <v>1382400</v>
      </c>
    </row>
    <row r="139" spans="1:6" x14ac:dyDescent="0.25">
      <c r="A139" s="222">
        <f t="shared" si="6"/>
        <v>15</v>
      </c>
      <c r="B139" s="55" t="s">
        <v>288</v>
      </c>
      <c r="C139" s="286" t="s">
        <v>120</v>
      </c>
      <c r="D139" s="61">
        <v>20</v>
      </c>
      <c r="E139" s="243">
        <v>90583</v>
      </c>
      <c r="F139" s="249">
        <f t="shared" si="7"/>
        <v>1811660</v>
      </c>
    </row>
    <row r="140" spans="1:6" x14ac:dyDescent="0.25">
      <c r="A140" s="222">
        <f t="shared" si="6"/>
        <v>16</v>
      </c>
      <c r="B140" s="18" t="s">
        <v>43</v>
      </c>
      <c r="C140" s="20"/>
      <c r="D140" s="20"/>
      <c r="E140" s="243">
        <v>0</v>
      </c>
      <c r="F140" s="249">
        <f t="shared" si="7"/>
        <v>0</v>
      </c>
    </row>
    <row r="141" spans="1:6" x14ac:dyDescent="0.25">
      <c r="A141" s="222">
        <f t="shared" si="6"/>
        <v>17</v>
      </c>
      <c r="B141" s="55" t="s">
        <v>44</v>
      </c>
      <c r="C141" s="286" t="s">
        <v>64</v>
      </c>
      <c r="D141" s="61">
        <v>45</v>
      </c>
      <c r="E141" s="243">
        <v>121019</v>
      </c>
      <c r="F141" s="249">
        <f t="shared" si="7"/>
        <v>5445855</v>
      </c>
    </row>
    <row r="142" spans="1:6" ht="29.25" x14ac:dyDescent="0.25">
      <c r="A142" s="222">
        <f t="shared" si="6"/>
        <v>18</v>
      </c>
      <c r="B142" s="17" t="s">
        <v>45</v>
      </c>
      <c r="C142" s="286" t="s">
        <v>64</v>
      </c>
      <c r="D142" s="61">
        <v>160</v>
      </c>
      <c r="E142" s="243">
        <v>22197</v>
      </c>
      <c r="F142" s="249">
        <f t="shared" si="7"/>
        <v>3551520</v>
      </c>
    </row>
    <row r="143" spans="1:6" x14ac:dyDescent="0.25">
      <c r="A143" s="222">
        <f t="shared" si="6"/>
        <v>19</v>
      </c>
      <c r="B143" s="55" t="s">
        <v>46</v>
      </c>
      <c r="C143" s="286" t="s">
        <v>64</v>
      </c>
      <c r="D143" s="61">
        <v>2</v>
      </c>
      <c r="E143" s="243">
        <v>145281</v>
      </c>
      <c r="F143" s="249">
        <f t="shared" si="7"/>
        <v>290562</v>
      </c>
    </row>
    <row r="144" spans="1:6" x14ac:dyDescent="0.25">
      <c r="A144" s="222">
        <f t="shared" si="6"/>
        <v>20</v>
      </c>
      <c r="B144" s="18" t="s">
        <v>48</v>
      </c>
      <c r="C144" s="20"/>
      <c r="D144" s="20"/>
      <c r="E144" s="243">
        <v>0</v>
      </c>
      <c r="F144" s="249">
        <f t="shared" si="7"/>
        <v>0</v>
      </c>
    </row>
    <row r="145" spans="1:11" ht="29.25" x14ac:dyDescent="0.25">
      <c r="A145" s="222">
        <f t="shared" si="6"/>
        <v>21</v>
      </c>
      <c r="B145" s="17" t="s">
        <v>49</v>
      </c>
      <c r="C145" s="286" t="s">
        <v>64</v>
      </c>
      <c r="D145" s="61">
        <v>1</v>
      </c>
      <c r="E145" s="243">
        <v>607296</v>
      </c>
      <c r="F145" s="249">
        <f t="shared" si="7"/>
        <v>607296</v>
      </c>
    </row>
    <row r="146" spans="1:11" ht="29.25" x14ac:dyDescent="0.25">
      <c r="A146" s="222">
        <f t="shared" si="6"/>
        <v>22</v>
      </c>
      <c r="B146" s="17" t="s">
        <v>50</v>
      </c>
      <c r="C146" s="286" t="s">
        <v>64</v>
      </c>
      <c r="D146" s="61">
        <v>2</v>
      </c>
      <c r="E146" s="243">
        <v>824735</v>
      </c>
      <c r="F146" s="249">
        <f t="shared" si="7"/>
        <v>1649470</v>
      </c>
    </row>
    <row r="147" spans="1:11" x14ac:dyDescent="0.25">
      <c r="A147" s="222">
        <f t="shared" si="6"/>
        <v>23</v>
      </c>
      <c r="B147" s="18" t="s">
        <v>51</v>
      </c>
      <c r="C147" s="20"/>
      <c r="D147" s="20"/>
      <c r="E147" s="243">
        <v>0</v>
      </c>
      <c r="F147" s="249">
        <f t="shared" si="7"/>
        <v>0</v>
      </c>
    </row>
    <row r="148" spans="1:11" x14ac:dyDescent="0.25">
      <c r="A148" s="222">
        <f t="shared" si="6"/>
        <v>24</v>
      </c>
      <c r="B148" s="55" t="s">
        <v>52</v>
      </c>
      <c r="C148" s="286" t="s">
        <v>53</v>
      </c>
      <c r="D148" s="61">
        <v>18</v>
      </c>
      <c r="E148" s="243">
        <v>5922</v>
      </c>
      <c r="F148" s="249">
        <f t="shared" si="7"/>
        <v>106596</v>
      </c>
      <c r="K148" s="80"/>
    </row>
    <row r="149" spans="1:11" x14ac:dyDescent="0.25">
      <c r="A149" s="219"/>
      <c r="B149" s="18" t="s">
        <v>56</v>
      </c>
      <c r="C149" s="54"/>
      <c r="D149" s="130"/>
      <c r="E149" s="28"/>
      <c r="F149" s="28">
        <f>ROUND((F148+F147+F146+F145+F144+F143+F142+F141+F140+F139+F138+F137+F136+F135+F134+F133+F132+F131+F130+F129+F128+F127+F126),0)</f>
        <v>56718083</v>
      </c>
    </row>
    <row r="150" spans="1:11" x14ac:dyDescent="0.25">
      <c r="A150" s="19"/>
      <c r="B150" s="19" t="s">
        <v>60</v>
      </c>
      <c r="C150" s="19"/>
      <c r="D150" s="19"/>
      <c r="E150" s="19"/>
      <c r="F150" s="29">
        <f>ROUND(F149/1.3495,0)</f>
        <v>42028961</v>
      </c>
    </row>
    <row r="151" spans="1:11" x14ac:dyDescent="0.25">
      <c r="A151" s="19"/>
      <c r="B151" s="19" t="s">
        <v>61</v>
      </c>
      <c r="C151" s="131">
        <v>0.24</v>
      </c>
      <c r="D151" s="19"/>
      <c r="E151" s="19"/>
      <c r="F151" s="29">
        <f>ROUND(F150*C151,0)</f>
        <v>10086951</v>
      </c>
    </row>
    <row r="152" spans="1:11" x14ac:dyDescent="0.25">
      <c r="A152" s="19"/>
      <c r="B152" s="19" t="s">
        <v>57</v>
      </c>
      <c r="C152" s="131">
        <v>0.05</v>
      </c>
      <c r="D152" s="19"/>
      <c r="E152" s="19"/>
      <c r="F152" s="29">
        <f>ROUND(F150*C152,0)</f>
        <v>2101448</v>
      </c>
    </row>
    <row r="153" spans="1:11" x14ac:dyDescent="0.25">
      <c r="A153" s="19"/>
      <c r="B153" s="19" t="s">
        <v>62</v>
      </c>
      <c r="C153" s="131">
        <v>0.05</v>
      </c>
      <c r="D153" s="19"/>
      <c r="E153" s="19"/>
      <c r="F153" s="29">
        <f>ROUND(F150*C153,0)</f>
        <v>2101448</v>
      </c>
    </row>
    <row r="154" spans="1:11" x14ac:dyDescent="0.25">
      <c r="A154" s="19"/>
      <c r="B154" s="132" t="s">
        <v>63</v>
      </c>
      <c r="C154" s="133">
        <v>0.19</v>
      </c>
      <c r="D154" s="120"/>
      <c r="E154" s="120"/>
      <c r="F154" s="35">
        <f>ROUND(F153*19%,0)</f>
        <v>399275</v>
      </c>
    </row>
    <row r="155" spans="1:11" x14ac:dyDescent="0.25">
      <c r="A155" s="19"/>
      <c r="B155" s="18" t="s">
        <v>56</v>
      </c>
      <c r="C155" s="19"/>
      <c r="D155" s="19"/>
      <c r="E155" s="19"/>
      <c r="F155" s="30">
        <f>SUM(F150:F154)</f>
        <v>56718083</v>
      </c>
    </row>
    <row r="157" spans="1:11" ht="15" customHeight="1" x14ac:dyDescent="0.25">
      <c r="A157" s="431" t="s">
        <v>289</v>
      </c>
      <c r="B157" s="432"/>
      <c r="C157" s="432"/>
      <c r="D157" s="432"/>
      <c r="E157" s="432"/>
      <c r="F157" s="433"/>
    </row>
    <row r="158" spans="1:11" x14ac:dyDescent="0.25">
      <c r="A158" s="420" t="s">
        <v>10</v>
      </c>
      <c r="B158" s="457" t="s">
        <v>0</v>
      </c>
      <c r="C158" s="420" t="s">
        <v>11</v>
      </c>
      <c r="D158" s="420" t="s">
        <v>12</v>
      </c>
      <c r="E158" s="420"/>
      <c r="F158" s="420"/>
    </row>
    <row r="159" spans="1:11" x14ac:dyDescent="0.25">
      <c r="A159" s="420"/>
      <c r="B159" s="458"/>
      <c r="C159" s="420"/>
      <c r="D159" s="54" t="s">
        <v>13</v>
      </c>
      <c r="E159" s="54" t="s">
        <v>14</v>
      </c>
      <c r="F159" s="54" t="s">
        <v>15</v>
      </c>
    </row>
    <row r="160" spans="1:11" x14ac:dyDescent="0.25">
      <c r="A160" s="222">
        <f t="shared" ref="A160:A187" si="8">A159+1</f>
        <v>1</v>
      </c>
      <c r="B160" s="290" t="s">
        <v>16</v>
      </c>
      <c r="C160" s="420"/>
      <c r="D160" s="420"/>
      <c r="E160" s="420"/>
      <c r="F160" s="20"/>
    </row>
    <row r="161" spans="1:11" ht="29.25" x14ac:dyDescent="0.25">
      <c r="A161" s="222">
        <f t="shared" si="8"/>
        <v>2</v>
      </c>
      <c r="B161" s="13" t="s">
        <v>17</v>
      </c>
      <c r="C161" s="286" t="s">
        <v>18</v>
      </c>
      <c r="D161" s="61">
        <v>90</v>
      </c>
      <c r="E161" s="242">
        <v>5214</v>
      </c>
      <c r="F161" s="249">
        <f t="shared" ref="F161:F187" si="9">ROUND(D161*E161,0)</f>
        <v>469260</v>
      </c>
    </row>
    <row r="162" spans="1:11" ht="43.5" x14ac:dyDescent="0.25">
      <c r="A162" s="222">
        <f>A161+1</f>
        <v>3</v>
      </c>
      <c r="B162" s="13" t="s">
        <v>21</v>
      </c>
      <c r="C162" s="286" t="s">
        <v>18</v>
      </c>
      <c r="D162" s="61">
        <v>192</v>
      </c>
      <c r="E162" s="242">
        <v>13608</v>
      </c>
      <c r="F162" s="249">
        <f t="shared" si="9"/>
        <v>2612736</v>
      </c>
    </row>
    <row r="163" spans="1:11" x14ac:dyDescent="0.25">
      <c r="A163" s="222">
        <f t="shared" si="8"/>
        <v>4</v>
      </c>
      <c r="B163" s="13" t="s">
        <v>22</v>
      </c>
      <c r="C163" s="286" t="s">
        <v>23</v>
      </c>
      <c r="D163" s="61">
        <v>2</v>
      </c>
      <c r="E163" s="242">
        <v>155349</v>
      </c>
      <c r="F163" s="249">
        <f t="shared" si="9"/>
        <v>310698</v>
      </c>
      <c r="K163" s="80"/>
    </row>
    <row r="164" spans="1:11" x14ac:dyDescent="0.25">
      <c r="A164" s="222">
        <f t="shared" si="8"/>
        <v>5</v>
      </c>
      <c r="B164" s="13" t="s">
        <v>25</v>
      </c>
      <c r="C164" s="20"/>
      <c r="D164" s="20"/>
      <c r="E164" s="242"/>
      <c r="F164" s="249">
        <f t="shared" si="9"/>
        <v>0</v>
      </c>
    </row>
    <row r="165" spans="1:11" x14ac:dyDescent="0.25">
      <c r="A165" s="222">
        <f t="shared" si="8"/>
        <v>6</v>
      </c>
      <c r="B165" s="13" t="s">
        <v>26</v>
      </c>
      <c r="C165" s="286" t="s">
        <v>18</v>
      </c>
      <c r="D165" s="61">
        <v>440</v>
      </c>
      <c r="E165" s="242">
        <v>7630</v>
      </c>
      <c r="F165" s="249">
        <f t="shared" si="9"/>
        <v>3357200</v>
      </c>
    </row>
    <row r="166" spans="1:11" ht="29.25" customHeight="1" x14ac:dyDescent="0.25">
      <c r="A166" s="222">
        <f t="shared" si="8"/>
        <v>7</v>
      </c>
      <c r="B166" s="17" t="s">
        <v>27</v>
      </c>
      <c r="C166" s="286" t="s">
        <v>64</v>
      </c>
      <c r="D166" s="61">
        <v>31</v>
      </c>
      <c r="E166" s="242">
        <v>83312</v>
      </c>
      <c r="F166" s="249">
        <f t="shared" si="9"/>
        <v>2582672</v>
      </c>
    </row>
    <row r="167" spans="1:11" x14ac:dyDescent="0.25">
      <c r="A167" s="222">
        <f t="shared" si="8"/>
        <v>8</v>
      </c>
      <c r="B167" s="179" t="s">
        <v>28</v>
      </c>
      <c r="C167" s="20"/>
      <c r="D167" s="20"/>
      <c r="E167" s="242"/>
      <c r="F167" s="249">
        <f t="shared" si="9"/>
        <v>0</v>
      </c>
    </row>
    <row r="168" spans="1:11" x14ac:dyDescent="0.25">
      <c r="A168" s="222">
        <f t="shared" si="8"/>
        <v>9</v>
      </c>
      <c r="B168" s="13" t="s">
        <v>29</v>
      </c>
      <c r="C168" s="286" t="s">
        <v>64</v>
      </c>
      <c r="D168" s="61">
        <v>306</v>
      </c>
      <c r="E168" s="242">
        <v>26317</v>
      </c>
      <c r="F168" s="249">
        <f t="shared" si="9"/>
        <v>8053002</v>
      </c>
    </row>
    <row r="169" spans="1:11" x14ac:dyDescent="0.25">
      <c r="A169" s="222">
        <f t="shared" si="8"/>
        <v>10</v>
      </c>
      <c r="B169" s="13" t="s">
        <v>148</v>
      </c>
      <c r="C169" s="286" t="s">
        <v>18</v>
      </c>
      <c r="D169" s="61">
        <v>10</v>
      </c>
      <c r="E169" s="242">
        <v>31128</v>
      </c>
      <c r="F169" s="249">
        <f t="shared" si="9"/>
        <v>311280</v>
      </c>
    </row>
    <row r="170" spans="1:11" ht="29.25" x14ac:dyDescent="0.25">
      <c r="A170" s="222">
        <f t="shared" si="8"/>
        <v>11</v>
      </c>
      <c r="B170" s="13" t="s">
        <v>32</v>
      </c>
      <c r="C170" s="286" t="s">
        <v>64</v>
      </c>
      <c r="D170" s="61">
        <v>103</v>
      </c>
      <c r="E170" s="242">
        <v>32749</v>
      </c>
      <c r="F170" s="249">
        <f t="shared" si="9"/>
        <v>3373147</v>
      </c>
    </row>
    <row r="171" spans="1:11" ht="29.25" x14ac:dyDescent="0.25">
      <c r="A171" s="222">
        <f t="shared" si="8"/>
        <v>12</v>
      </c>
      <c r="B171" s="13" t="s">
        <v>33</v>
      </c>
      <c r="C171" s="20"/>
      <c r="D171" s="20"/>
      <c r="E171" s="242"/>
      <c r="F171" s="249">
        <f t="shared" si="9"/>
        <v>0</v>
      </c>
    </row>
    <row r="172" spans="1:11" ht="29.25" x14ac:dyDescent="0.25">
      <c r="A172" s="222">
        <f t="shared" si="8"/>
        <v>13</v>
      </c>
      <c r="B172" s="13" t="s">
        <v>66</v>
      </c>
      <c r="C172" s="286" t="s">
        <v>18</v>
      </c>
      <c r="D172" s="61">
        <v>90</v>
      </c>
      <c r="E172" s="242">
        <v>23708</v>
      </c>
      <c r="F172" s="249">
        <f t="shared" si="9"/>
        <v>2133720</v>
      </c>
    </row>
    <row r="173" spans="1:11" ht="45" customHeight="1" x14ac:dyDescent="0.25">
      <c r="A173" s="222">
        <f t="shared" si="8"/>
        <v>14</v>
      </c>
      <c r="B173" s="17" t="s">
        <v>35</v>
      </c>
      <c r="C173" s="286" t="s">
        <v>18</v>
      </c>
      <c r="D173" s="61">
        <v>0.5</v>
      </c>
      <c r="E173" s="242">
        <v>637411</v>
      </c>
      <c r="F173" s="249">
        <f t="shared" si="9"/>
        <v>318706</v>
      </c>
    </row>
    <row r="174" spans="1:11" x14ac:dyDescent="0.25">
      <c r="A174" s="222">
        <f t="shared" si="8"/>
        <v>15</v>
      </c>
      <c r="B174" s="13" t="s">
        <v>38</v>
      </c>
      <c r="C174" s="286" t="s">
        <v>37</v>
      </c>
      <c r="D174" s="61">
        <v>2</v>
      </c>
      <c r="E174" s="242">
        <v>540447</v>
      </c>
      <c r="F174" s="249">
        <f t="shared" si="9"/>
        <v>1080894</v>
      </c>
    </row>
    <row r="175" spans="1:11" ht="43.5" x14ac:dyDescent="0.25">
      <c r="A175" s="222">
        <f t="shared" si="8"/>
        <v>16</v>
      </c>
      <c r="B175" s="13" t="s">
        <v>39</v>
      </c>
      <c r="C175" s="286" t="s">
        <v>18</v>
      </c>
      <c r="D175" s="61">
        <v>132</v>
      </c>
      <c r="E175" s="242">
        <v>13802</v>
      </c>
      <c r="F175" s="249">
        <f t="shared" si="9"/>
        <v>1821864</v>
      </c>
    </row>
    <row r="176" spans="1:11" ht="28.5" customHeight="1" x14ac:dyDescent="0.25">
      <c r="A176" s="222">
        <f t="shared" si="8"/>
        <v>17</v>
      </c>
      <c r="B176" s="17" t="s">
        <v>40</v>
      </c>
      <c r="C176" s="286" t="s">
        <v>23</v>
      </c>
      <c r="D176" s="61">
        <v>26</v>
      </c>
      <c r="E176" s="242">
        <v>399818</v>
      </c>
      <c r="F176" s="249">
        <f t="shared" si="9"/>
        <v>10395268</v>
      </c>
    </row>
    <row r="177" spans="1:11" x14ac:dyDescent="0.25">
      <c r="A177" s="222">
        <f t="shared" si="8"/>
        <v>18</v>
      </c>
      <c r="B177" s="13" t="s">
        <v>67</v>
      </c>
      <c r="C177" s="286" t="s">
        <v>23</v>
      </c>
      <c r="D177" s="61">
        <v>26</v>
      </c>
      <c r="E177" s="242">
        <v>43482</v>
      </c>
      <c r="F177" s="249">
        <f t="shared" si="9"/>
        <v>1130532</v>
      </c>
    </row>
    <row r="178" spans="1:11" x14ac:dyDescent="0.25">
      <c r="A178" s="222">
        <f t="shared" si="8"/>
        <v>19</v>
      </c>
      <c r="B178" s="13" t="s">
        <v>42</v>
      </c>
      <c r="C178" s="286" t="s">
        <v>23</v>
      </c>
      <c r="D178" s="61">
        <v>4</v>
      </c>
      <c r="E178" s="242">
        <v>90312</v>
      </c>
      <c r="F178" s="249">
        <f t="shared" si="9"/>
        <v>361248</v>
      </c>
    </row>
    <row r="179" spans="1:11" x14ac:dyDescent="0.25">
      <c r="A179" s="222">
        <f t="shared" si="8"/>
        <v>20</v>
      </c>
      <c r="B179" s="179" t="s">
        <v>43</v>
      </c>
      <c r="C179" s="20"/>
      <c r="D179" s="20"/>
      <c r="E179" s="242"/>
      <c r="F179" s="249">
        <f t="shared" si="9"/>
        <v>0</v>
      </c>
    </row>
    <row r="180" spans="1:11" x14ac:dyDescent="0.25">
      <c r="A180" s="222">
        <f t="shared" si="8"/>
        <v>21</v>
      </c>
      <c r="B180" s="13" t="s">
        <v>44</v>
      </c>
      <c r="C180" s="286" t="s">
        <v>64</v>
      </c>
      <c r="D180" s="61">
        <v>20</v>
      </c>
      <c r="E180" s="242">
        <v>120657</v>
      </c>
      <c r="F180" s="249">
        <f t="shared" si="9"/>
        <v>2413140</v>
      </c>
    </row>
    <row r="181" spans="1:11" ht="29.25" x14ac:dyDescent="0.25">
      <c r="A181" s="222">
        <f t="shared" si="8"/>
        <v>22</v>
      </c>
      <c r="B181" s="13" t="s">
        <v>45</v>
      </c>
      <c r="C181" s="286" t="s">
        <v>64</v>
      </c>
      <c r="D181" s="61">
        <v>236</v>
      </c>
      <c r="E181" s="242">
        <v>22131</v>
      </c>
      <c r="F181" s="249">
        <f t="shared" si="9"/>
        <v>5222916</v>
      </c>
    </row>
    <row r="182" spans="1:11" x14ac:dyDescent="0.25">
      <c r="A182" s="222">
        <f t="shared" si="8"/>
        <v>23</v>
      </c>
      <c r="B182" s="13" t="s">
        <v>46</v>
      </c>
      <c r="C182" s="286" t="s">
        <v>64</v>
      </c>
      <c r="D182" s="61">
        <v>43</v>
      </c>
      <c r="E182" s="242">
        <v>144847</v>
      </c>
      <c r="F182" s="249">
        <f t="shared" si="9"/>
        <v>6228421</v>
      </c>
    </row>
    <row r="183" spans="1:11" x14ac:dyDescent="0.25">
      <c r="A183" s="222">
        <f t="shared" si="8"/>
        <v>24</v>
      </c>
      <c r="B183" s="179" t="s">
        <v>48</v>
      </c>
      <c r="C183" s="20"/>
      <c r="D183" s="20"/>
      <c r="E183" s="242"/>
      <c r="F183" s="249">
        <f t="shared" si="9"/>
        <v>0</v>
      </c>
    </row>
    <row r="184" spans="1:11" ht="29.25" x14ac:dyDescent="0.25">
      <c r="A184" s="222">
        <f t="shared" si="8"/>
        <v>25</v>
      </c>
      <c r="B184" s="13" t="s">
        <v>49</v>
      </c>
      <c r="C184" s="286" t="s">
        <v>64</v>
      </c>
      <c r="D184" s="61">
        <v>0.5</v>
      </c>
      <c r="E184" s="242">
        <v>605480</v>
      </c>
      <c r="F184" s="249">
        <f t="shared" si="9"/>
        <v>302740</v>
      </c>
    </row>
    <row r="185" spans="1:11" ht="29.25" x14ac:dyDescent="0.25">
      <c r="A185" s="222">
        <f t="shared" si="8"/>
        <v>26</v>
      </c>
      <c r="B185" s="13" t="s">
        <v>50</v>
      </c>
      <c r="C185" s="286" t="s">
        <v>64</v>
      </c>
      <c r="D185" s="61">
        <v>30</v>
      </c>
      <c r="E185" s="242">
        <v>822682</v>
      </c>
      <c r="F185" s="249">
        <f t="shared" si="9"/>
        <v>24680460</v>
      </c>
    </row>
    <row r="186" spans="1:11" x14ac:dyDescent="0.25">
      <c r="A186" s="222">
        <f t="shared" si="8"/>
        <v>27</v>
      </c>
      <c r="B186" s="179" t="s">
        <v>51</v>
      </c>
      <c r="C186" s="20"/>
      <c r="D186" s="20"/>
      <c r="E186" s="242"/>
      <c r="F186" s="249">
        <f t="shared" si="9"/>
        <v>0</v>
      </c>
    </row>
    <row r="187" spans="1:11" x14ac:dyDescent="0.25">
      <c r="A187" s="222">
        <f t="shared" si="8"/>
        <v>28</v>
      </c>
      <c r="B187" s="13" t="s">
        <v>52</v>
      </c>
      <c r="C187" s="286" t="s">
        <v>53</v>
      </c>
      <c r="D187" s="61">
        <v>36</v>
      </c>
      <c r="E187" s="242">
        <v>5922</v>
      </c>
      <c r="F187" s="249">
        <f t="shared" si="9"/>
        <v>213192</v>
      </c>
      <c r="K187" s="80"/>
    </row>
    <row r="188" spans="1:11" x14ac:dyDescent="0.25">
      <c r="A188" s="219"/>
      <c r="B188" s="18" t="s">
        <v>56</v>
      </c>
      <c r="C188" s="54"/>
      <c r="D188" s="130"/>
      <c r="E188" s="28"/>
      <c r="F188" s="28">
        <f>ROUND((F187+F186+F185+F184+F183+F182+F181+F180+F179+F178+F177+F176+F175+F174+F173+F172+F171+F170+F169+F168+F167+F166+F165+F164+F163+F162+F161),0)</f>
        <v>77373096</v>
      </c>
    </row>
    <row r="189" spans="1:11" x14ac:dyDescent="0.25">
      <c r="A189" s="19"/>
      <c r="B189" s="19" t="s">
        <v>60</v>
      </c>
      <c r="C189" s="19"/>
      <c r="D189" s="19"/>
      <c r="E189" s="19"/>
      <c r="F189" s="29">
        <f>ROUND(F188/1.3495,0)</f>
        <v>57334639</v>
      </c>
    </row>
    <row r="190" spans="1:11" x14ac:dyDescent="0.25">
      <c r="A190" s="19"/>
      <c r="B190" s="19" t="s">
        <v>61</v>
      </c>
      <c r="C190" s="131">
        <v>0.24</v>
      </c>
      <c r="D190" s="19"/>
      <c r="E190" s="19"/>
      <c r="F190" s="29">
        <f>ROUND(F189*C190,0)</f>
        <v>13760313</v>
      </c>
    </row>
    <row r="191" spans="1:11" x14ac:dyDescent="0.25">
      <c r="A191" s="19"/>
      <c r="B191" s="19" t="s">
        <v>57</v>
      </c>
      <c r="C191" s="131">
        <v>0.05</v>
      </c>
      <c r="D191" s="19"/>
      <c r="E191" s="19"/>
      <c r="F191" s="29">
        <f>ROUND(F189*C191,0)</f>
        <v>2866732</v>
      </c>
    </row>
    <row r="192" spans="1:11" x14ac:dyDescent="0.25">
      <c r="A192" s="19"/>
      <c r="B192" s="19" t="s">
        <v>62</v>
      </c>
      <c r="C192" s="131">
        <v>0.05</v>
      </c>
      <c r="D192" s="19"/>
      <c r="E192" s="19"/>
      <c r="F192" s="29">
        <f>ROUND(F189*C192,0)</f>
        <v>2866732</v>
      </c>
    </row>
    <row r="193" spans="1:6" x14ac:dyDescent="0.25">
      <c r="A193" s="19"/>
      <c r="B193" s="132" t="s">
        <v>63</v>
      </c>
      <c r="C193" s="133">
        <v>0.19</v>
      </c>
      <c r="D193" s="120"/>
      <c r="E193" s="120"/>
      <c r="F193" s="35">
        <f>ROUND(F192*19%,0)</f>
        <v>544679</v>
      </c>
    </row>
    <row r="194" spans="1:6" x14ac:dyDescent="0.25">
      <c r="A194" s="19"/>
      <c r="B194" s="18" t="s">
        <v>56</v>
      </c>
      <c r="C194" s="19"/>
      <c r="D194" s="19"/>
      <c r="E194" s="19"/>
      <c r="F194" s="30">
        <f>SUM(F189:F193)</f>
        <v>77373095</v>
      </c>
    </row>
    <row r="195" spans="1:6" x14ac:dyDescent="0.25">
      <c r="A195" s="21"/>
      <c r="B195" s="21"/>
      <c r="C195" s="291"/>
      <c r="D195" s="291"/>
      <c r="E195" s="291"/>
      <c r="F195" s="291"/>
    </row>
    <row r="196" spans="1:6" x14ac:dyDescent="0.25">
      <c r="A196" s="21"/>
      <c r="B196" s="21"/>
      <c r="C196" s="291"/>
      <c r="D196" s="291"/>
      <c r="E196" s="291"/>
      <c r="F196" s="291"/>
    </row>
    <row r="197" spans="1:6" ht="31.5" customHeight="1" x14ac:dyDescent="0.25">
      <c r="A197" s="431" t="s">
        <v>290</v>
      </c>
      <c r="B197" s="432"/>
      <c r="C197" s="432"/>
      <c r="D197" s="432"/>
      <c r="E197" s="432"/>
      <c r="F197" s="433"/>
    </row>
    <row r="198" spans="1:6" x14ac:dyDescent="0.25">
      <c r="A198" s="420" t="s">
        <v>10</v>
      </c>
      <c r="B198" s="195" t="s">
        <v>0</v>
      </c>
      <c r="C198" s="420" t="s">
        <v>11</v>
      </c>
      <c r="D198" s="420" t="s">
        <v>12</v>
      </c>
      <c r="E198" s="420"/>
      <c r="F198" s="420"/>
    </row>
    <row r="199" spans="1:6" x14ac:dyDescent="0.25">
      <c r="A199" s="420"/>
      <c r="B199" s="195"/>
      <c r="C199" s="420"/>
      <c r="D199" s="54" t="s">
        <v>13</v>
      </c>
      <c r="E199" s="54" t="s">
        <v>14</v>
      </c>
      <c r="F199" s="54" t="s">
        <v>15</v>
      </c>
    </row>
    <row r="200" spans="1:6" x14ac:dyDescent="0.25">
      <c r="A200" s="222">
        <f t="shared" ref="A200:A216" si="10">A199+1</f>
        <v>1</v>
      </c>
      <c r="B200" s="179" t="s">
        <v>16</v>
      </c>
      <c r="C200" s="292"/>
      <c r="D200" s="292"/>
      <c r="E200" s="292"/>
      <c r="F200" s="292"/>
    </row>
    <row r="201" spans="1:6" x14ac:dyDescent="0.25">
      <c r="A201" s="222">
        <f t="shared" si="10"/>
        <v>2</v>
      </c>
      <c r="B201" s="293" t="s">
        <v>73</v>
      </c>
      <c r="C201" s="286" t="s">
        <v>20</v>
      </c>
      <c r="D201" s="286">
        <v>36</v>
      </c>
      <c r="E201" s="61">
        <v>5214</v>
      </c>
      <c r="F201" s="249">
        <f t="shared" ref="F201:F216" si="11">ROUND(D201*E201,0)</f>
        <v>187704</v>
      </c>
    </row>
    <row r="202" spans="1:6" ht="43.5" x14ac:dyDescent="0.25">
      <c r="A202" s="222">
        <f t="shared" si="10"/>
        <v>3</v>
      </c>
      <c r="B202" s="13" t="s">
        <v>21</v>
      </c>
      <c r="C202" s="286" t="s">
        <v>18</v>
      </c>
      <c r="D202" s="286">
        <v>24</v>
      </c>
      <c r="E202" s="61">
        <v>13608</v>
      </c>
      <c r="F202" s="249">
        <f t="shared" si="11"/>
        <v>326592</v>
      </c>
    </row>
    <row r="203" spans="1:6" x14ac:dyDescent="0.25">
      <c r="A203" s="222">
        <f t="shared" si="10"/>
        <v>4</v>
      </c>
      <c r="B203" s="13" t="s">
        <v>22</v>
      </c>
      <c r="C203" s="286" t="s">
        <v>23</v>
      </c>
      <c r="D203" s="286">
        <v>6</v>
      </c>
      <c r="E203" s="61">
        <v>155349</v>
      </c>
      <c r="F203" s="249">
        <f t="shared" si="11"/>
        <v>932094</v>
      </c>
    </row>
    <row r="204" spans="1:6" x14ac:dyDescent="0.25">
      <c r="A204" s="222">
        <f t="shared" si="10"/>
        <v>5</v>
      </c>
      <c r="B204" s="179" t="s">
        <v>25</v>
      </c>
      <c r="C204" s="286"/>
      <c r="D204" s="286"/>
      <c r="E204" s="61">
        <v>0</v>
      </c>
      <c r="F204" s="249">
        <f t="shared" si="11"/>
        <v>0</v>
      </c>
    </row>
    <row r="205" spans="1:6" x14ac:dyDescent="0.25">
      <c r="A205" s="222">
        <f t="shared" si="10"/>
        <v>6</v>
      </c>
      <c r="B205" s="13" t="s">
        <v>26</v>
      </c>
      <c r="C205" s="286" t="s">
        <v>18</v>
      </c>
      <c r="D205" s="286">
        <v>12</v>
      </c>
      <c r="E205" s="61">
        <v>7630</v>
      </c>
      <c r="F205" s="249">
        <f t="shared" si="11"/>
        <v>91560</v>
      </c>
    </row>
    <row r="206" spans="1:6" ht="43.5" x14ac:dyDescent="0.25">
      <c r="A206" s="222">
        <f t="shared" si="10"/>
        <v>7</v>
      </c>
      <c r="B206" s="13" t="s">
        <v>27</v>
      </c>
      <c r="C206" s="286" t="s">
        <v>64</v>
      </c>
      <c r="D206" s="286">
        <v>6.5</v>
      </c>
      <c r="E206" s="61">
        <v>83312</v>
      </c>
      <c r="F206" s="249">
        <f t="shared" si="11"/>
        <v>541528</v>
      </c>
    </row>
    <row r="207" spans="1:6" x14ac:dyDescent="0.25">
      <c r="A207" s="222">
        <f t="shared" si="10"/>
        <v>8</v>
      </c>
      <c r="B207" s="179" t="s">
        <v>28</v>
      </c>
      <c r="C207" s="286"/>
      <c r="D207" s="286"/>
      <c r="E207" s="61"/>
      <c r="F207" s="249">
        <f t="shared" si="11"/>
        <v>0</v>
      </c>
    </row>
    <row r="208" spans="1:6" x14ac:dyDescent="0.25">
      <c r="A208" s="222">
        <f t="shared" si="10"/>
        <v>9</v>
      </c>
      <c r="B208" s="13" t="s">
        <v>29</v>
      </c>
      <c r="C208" s="286" t="s">
        <v>64</v>
      </c>
      <c r="D208" s="286">
        <v>7</v>
      </c>
      <c r="E208" s="61">
        <v>26317</v>
      </c>
      <c r="F208" s="249">
        <f t="shared" si="11"/>
        <v>184219</v>
      </c>
    </row>
    <row r="209" spans="1:6" x14ac:dyDescent="0.25">
      <c r="A209" s="222">
        <f t="shared" si="10"/>
        <v>10</v>
      </c>
      <c r="B209" s="13" t="s">
        <v>156</v>
      </c>
      <c r="C209" s="286" t="s">
        <v>64</v>
      </c>
      <c r="D209" s="286">
        <v>7</v>
      </c>
      <c r="E209" s="61">
        <v>29124</v>
      </c>
      <c r="F209" s="249">
        <f t="shared" si="11"/>
        <v>203868</v>
      </c>
    </row>
    <row r="210" spans="1:6" ht="29.25" x14ac:dyDescent="0.25">
      <c r="A210" s="222">
        <f t="shared" si="10"/>
        <v>11</v>
      </c>
      <c r="B210" s="13" t="s">
        <v>32</v>
      </c>
      <c r="C210" s="286" t="s">
        <v>64</v>
      </c>
      <c r="D210" s="286">
        <f>7+7+6.5</f>
        <v>20.5</v>
      </c>
      <c r="E210" s="61">
        <v>32749</v>
      </c>
      <c r="F210" s="249">
        <f t="shared" si="11"/>
        <v>671355</v>
      </c>
    </row>
    <row r="211" spans="1:6" x14ac:dyDescent="0.25">
      <c r="A211" s="222">
        <f t="shared" si="10"/>
        <v>12</v>
      </c>
      <c r="B211" s="179" t="s">
        <v>43</v>
      </c>
      <c r="C211" s="286"/>
      <c r="D211" s="286"/>
      <c r="E211" s="61">
        <v>0</v>
      </c>
      <c r="F211" s="249">
        <f t="shared" si="11"/>
        <v>0</v>
      </c>
    </row>
    <row r="212" spans="1:6" x14ac:dyDescent="0.25">
      <c r="A212" s="222">
        <f t="shared" si="10"/>
        <v>13</v>
      </c>
      <c r="B212" s="13" t="s">
        <v>46</v>
      </c>
      <c r="C212" s="286" t="s">
        <v>64</v>
      </c>
      <c r="D212" s="286">
        <v>12.5</v>
      </c>
      <c r="E212" s="61">
        <v>144847</v>
      </c>
      <c r="F212" s="249">
        <f t="shared" si="11"/>
        <v>1810588</v>
      </c>
    </row>
    <row r="213" spans="1:6" x14ac:dyDescent="0.25">
      <c r="A213" s="222">
        <f t="shared" si="10"/>
        <v>14</v>
      </c>
      <c r="B213" s="13" t="s">
        <v>48</v>
      </c>
      <c r="C213" s="286"/>
      <c r="D213" s="219"/>
      <c r="E213" s="20"/>
      <c r="F213" s="249">
        <f t="shared" si="11"/>
        <v>0</v>
      </c>
    </row>
    <row r="214" spans="1:6" ht="29.25" x14ac:dyDescent="0.25">
      <c r="A214" s="222">
        <f t="shared" si="10"/>
        <v>15</v>
      </c>
      <c r="B214" s="13" t="s">
        <v>50</v>
      </c>
      <c r="C214" s="286" t="s">
        <v>64</v>
      </c>
      <c r="D214" s="286">
        <v>7.5</v>
      </c>
      <c r="E214" s="61">
        <v>822268</v>
      </c>
      <c r="F214" s="249">
        <f t="shared" si="11"/>
        <v>6167010</v>
      </c>
    </row>
    <row r="215" spans="1:6" x14ac:dyDescent="0.25">
      <c r="A215" s="222">
        <f t="shared" si="10"/>
        <v>16</v>
      </c>
      <c r="B215" s="179" t="s">
        <v>51</v>
      </c>
      <c r="C215" s="286"/>
      <c r="D215" s="286"/>
      <c r="E215" s="61">
        <v>0</v>
      </c>
      <c r="F215" s="249">
        <f t="shared" si="11"/>
        <v>0</v>
      </c>
    </row>
    <row r="216" spans="1:6" x14ac:dyDescent="0.25">
      <c r="A216" s="222">
        <f t="shared" si="10"/>
        <v>17</v>
      </c>
      <c r="B216" s="13" t="s">
        <v>52</v>
      </c>
      <c r="C216" s="286" t="s">
        <v>53</v>
      </c>
      <c r="D216" s="286">
        <v>60</v>
      </c>
      <c r="E216" s="61">
        <v>5922</v>
      </c>
      <c r="F216" s="249">
        <f t="shared" si="11"/>
        <v>355320</v>
      </c>
    </row>
    <row r="217" spans="1:6" x14ac:dyDescent="0.25">
      <c r="A217" s="219"/>
      <c r="B217" s="18" t="s">
        <v>56</v>
      </c>
      <c r="C217" s="54"/>
      <c r="D217" s="130"/>
      <c r="E217" s="28"/>
      <c r="F217" s="28">
        <f>ROUND((F216+F215+F214+F213+F212+F211+F210+F209+F208+F207+F206+F205+F204+F203+F202+F201+F200),0)</f>
        <v>11471838</v>
      </c>
    </row>
    <row r="218" spans="1:6" x14ac:dyDescent="0.25">
      <c r="A218" s="19"/>
      <c r="B218" s="19" t="s">
        <v>60</v>
      </c>
      <c r="C218" s="19"/>
      <c r="D218" s="19"/>
      <c r="E218" s="19"/>
      <c r="F218" s="29">
        <f>ROUND(F217/1.3495,0)</f>
        <v>8500806</v>
      </c>
    </row>
    <row r="219" spans="1:6" x14ac:dyDescent="0.25">
      <c r="A219" s="19"/>
      <c r="B219" s="19" t="s">
        <v>61</v>
      </c>
      <c r="C219" s="131">
        <v>0.24</v>
      </c>
      <c r="D219" s="19"/>
      <c r="E219" s="19"/>
      <c r="F219" s="29">
        <f>ROUND(F218*C219,0)</f>
        <v>2040193</v>
      </c>
    </row>
    <row r="220" spans="1:6" x14ac:dyDescent="0.25">
      <c r="A220" s="19"/>
      <c r="B220" s="19" t="s">
        <v>57</v>
      </c>
      <c r="C220" s="131">
        <v>0.05</v>
      </c>
      <c r="D220" s="19"/>
      <c r="E220" s="19"/>
      <c r="F220" s="29">
        <f>ROUND(F218*C220,0)</f>
        <v>425040</v>
      </c>
    </row>
    <row r="221" spans="1:6" x14ac:dyDescent="0.25">
      <c r="A221" s="19"/>
      <c r="B221" s="19" t="s">
        <v>62</v>
      </c>
      <c r="C221" s="131">
        <v>0.05</v>
      </c>
      <c r="D221" s="19"/>
      <c r="E221" s="19"/>
      <c r="F221" s="29">
        <f>ROUND(F218*C221,0)</f>
        <v>425040</v>
      </c>
    </row>
    <row r="222" spans="1:6" x14ac:dyDescent="0.25">
      <c r="A222" s="19"/>
      <c r="B222" s="132" t="s">
        <v>63</v>
      </c>
      <c r="C222" s="133">
        <v>0.19</v>
      </c>
      <c r="D222" s="120"/>
      <c r="E222" s="120"/>
      <c r="F222" s="35">
        <f>ROUND(F221*19%,0)</f>
        <v>80758</v>
      </c>
    </row>
    <row r="223" spans="1:6" x14ac:dyDescent="0.25">
      <c r="A223" s="19"/>
      <c r="B223" s="18" t="s">
        <v>56</v>
      </c>
      <c r="C223" s="19"/>
      <c r="D223" s="19"/>
      <c r="E223" s="19"/>
      <c r="F223" s="30">
        <f>SUM(F218:F222)</f>
        <v>11471837</v>
      </c>
    </row>
    <row r="224" spans="1:6" x14ac:dyDescent="0.25">
      <c r="A224" s="21"/>
      <c r="B224" s="21"/>
      <c r="C224" s="291"/>
      <c r="D224" s="291"/>
      <c r="E224" s="291"/>
      <c r="F224" s="291"/>
    </row>
    <row r="225" spans="1:11" x14ac:dyDescent="0.25">
      <c r="A225" s="21"/>
      <c r="B225" s="21"/>
      <c r="C225" s="291"/>
      <c r="D225" s="291"/>
      <c r="E225" s="291"/>
      <c r="F225" s="291"/>
    </row>
    <row r="226" spans="1:11" x14ac:dyDescent="0.25">
      <c r="A226" s="431" t="s">
        <v>291</v>
      </c>
      <c r="B226" s="432"/>
      <c r="C226" s="432"/>
      <c r="D226" s="432"/>
      <c r="E226" s="432"/>
      <c r="F226" s="433"/>
    </row>
    <row r="227" spans="1:11" x14ac:dyDescent="0.25">
      <c r="A227" s="420" t="s">
        <v>10</v>
      </c>
      <c r="B227" s="195" t="s">
        <v>0</v>
      </c>
      <c r="C227" s="420" t="s">
        <v>11</v>
      </c>
      <c r="D227" s="420" t="s">
        <v>12</v>
      </c>
      <c r="E227" s="420"/>
      <c r="F227" s="420"/>
    </row>
    <row r="228" spans="1:11" x14ac:dyDescent="0.25">
      <c r="A228" s="420"/>
      <c r="B228" s="195"/>
      <c r="C228" s="420"/>
      <c r="D228" s="54" t="s">
        <v>13</v>
      </c>
      <c r="E228" s="54" t="s">
        <v>14</v>
      </c>
      <c r="F228" s="54" t="s">
        <v>15</v>
      </c>
    </row>
    <row r="229" spans="1:11" x14ac:dyDescent="0.25">
      <c r="A229" s="222">
        <f t="shared" ref="A229:A249" si="12">A228+1</f>
        <v>1</v>
      </c>
      <c r="B229" s="179" t="s">
        <v>16</v>
      </c>
      <c r="C229" s="292"/>
      <c r="D229" s="292"/>
      <c r="E229" s="294"/>
      <c r="F229" s="292"/>
    </row>
    <row r="230" spans="1:11" x14ac:dyDescent="0.25">
      <c r="A230" s="222">
        <f t="shared" si="12"/>
        <v>2</v>
      </c>
      <c r="B230" s="13" t="s">
        <v>174</v>
      </c>
      <c r="C230" s="286" t="s">
        <v>18</v>
      </c>
      <c r="D230" s="286">
        <v>120</v>
      </c>
      <c r="E230" s="207">
        <v>5230</v>
      </c>
      <c r="F230" s="249">
        <f t="shared" ref="F230:F249" si="13">ROUND(D230*E230,0)</f>
        <v>627600</v>
      </c>
    </row>
    <row r="231" spans="1:11" x14ac:dyDescent="0.25">
      <c r="A231" s="222">
        <f t="shared" si="12"/>
        <v>3</v>
      </c>
      <c r="B231" s="13" t="s">
        <v>22</v>
      </c>
      <c r="C231" s="286" t="s">
        <v>23</v>
      </c>
      <c r="D231" s="286">
        <v>1</v>
      </c>
      <c r="E231" s="207">
        <v>155814</v>
      </c>
      <c r="F231" s="249">
        <f t="shared" si="13"/>
        <v>155814</v>
      </c>
      <c r="K231" s="295"/>
    </row>
    <row r="232" spans="1:11" x14ac:dyDescent="0.25">
      <c r="A232" s="222">
        <f t="shared" si="12"/>
        <v>4</v>
      </c>
      <c r="B232" s="179" t="s">
        <v>25</v>
      </c>
      <c r="C232" s="286"/>
      <c r="D232" s="286"/>
      <c r="E232" s="207" t="s">
        <v>1</v>
      </c>
      <c r="F232" s="249" t="s">
        <v>1</v>
      </c>
    </row>
    <row r="233" spans="1:11" x14ac:dyDescent="0.25">
      <c r="A233" s="222">
        <f t="shared" si="12"/>
        <v>5</v>
      </c>
      <c r="B233" s="13" t="s">
        <v>26</v>
      </c>
      <c r="C233" s="286" t="s">
        <v>18</v>
      </c>
      <c r="D233" s="286">
        <v>6</v>
      </c>
      <c r="E233" s="207">
        <v>7652</v>
      </c>
      <c r="F233" s="249">
        <f t="shared" si="13"/>
        <v>45912</v>
      </c>
    </row>
    <row r="234" spans="1:11" ht="43.5" x14ac:dyDescent="0.25">
      <c r="A234" s="222">
        <f t="shared" si="12"/>
        <v>6</v>
      </c>
      <c r="B234" s="13" t="s">
        <v>78</v>
      </c>
      <c r="C234" s="286" t="s">
        <v>64</v>
      </c>
      <c r="D234" s="222">
        <v>0.2</v>
      </c>
      <c r="E234" s="14">
        <v>83560</v>
      </c>
      <c r="F234" s="249">
        <f t="shared" si="13"/>
        <v>16712</v>
      </c>
    </row>
    <row r="235" spans="1:11" x14ac:dyDescent="0.25">
      <c r="A235" s="222">
        <f t="shared" si="12"/>
        <v>7</v>
      </c>
      <c r="B235" s="179" t="s">
        <v>28</v>
      </c>
      <c r="C235" s="286"/>
      <c r="D235" s="286"/>
      <c r="E235" s="207" t="s">
        <v>1</v>
      </c>
      <c r="F235" s="249" t="s">
        <v>1</v>
      </c>
    </row>
    <row r="236" spans="1:11" x14ac:dyDescent="0.25">
      <c r="A236" s="222">
        <f t="shared" si="12"/>
        <v>8</v>
      </c>
      <c r="B236" s="13" t="s">
        <v>79</v>
      </c>
      <c r="C236" s="286" t="s">
        <v>64</v>
      </c>
      <c r="D236" s="286">
        <v>68</v>
      </c>
      <c r="E236" s="207">
        <v>26395</v>
      </c>
      <c r="F236" s="249">
        <f t="shared" si="13"/>
        <v>1794860</v>
      </c>
    </row>
    <row r="237" spans="1:11" ht="29.25" x14ac:dyDescent="0.25">
      <c r="A237" s="222">
        <f t="shared" si="12"/>
        <v>9</v>
      </c>
      <c r="B237" s="13" t="s">
        <v>32</v>
      </c>
      <c r="C237" s="286" t="s">
        <v>64</v>
      </c>
      <c r="D237" s="222">
        <v>30</v>
      </c>
      <c r="E237" s="14">
        <v>32848</v>
      </c>
      <c r="F237" s="249">
        <f t="shared" si="13"/>
        <v>985440</v>
      </c>
    </row>
    <row r="238" spans="1:11" x14ac:dyDescent="0.25">
      <c r="A238" s="222">
        <f t="shared" si="12"/>
        <v>10</v>
      </c>
      <c r="B238" s="179" t="s">
        <v>80</v>
      </c>
      <c r="C238" s="286"/>
      <c r="D238" s="286"/>
      <c r="E238" s="207" t="s">
        <v>1</v>
      </c>
      <c r="F238" s="249" t="s">
        <v>1</v>
      </c>
    </row>
    <row r="239" spans="1:11" x14ac:dyDescent="0.25">
      <c r="A239" s="222">
        <f t="shared" si="12"/>
        <v>11</v>
      </c>
      <c r="B239" s="13" t="s">
        <v>92</v>
      </c>
      <c r="C239" s="286" t="s">
        <v>18</v>
      </c>
      <c r="D239" s="286">
        <v>120</v>
      </c>
      <c r="E239" s="207">
        <v>3962</v>
      </c>
      <c r="F239" s="249">
        <f t="shared" si="13"/>
        <v>475440</v>
      </c>
    </row>
    <row r="240" spans="1:11" ht="43.5" x14ac:dyDescent="0.25">
      <c r="A240" s="222">
        <f t="shared" si="12"/>
        <v>12</v>
      </c>
      <c r="B240" s="13" t="s">
        <v>82</v>
      </c>
      <c r="C240" s="286" t="s">
        <v>37</v>
      </c>
      <c r="D240" s="286">
        <v>16</v>
      </c>
      <c r="E240" s="207">
        <v>42039</v>
      </c>
      <c r="F240" s="249">
        <f t="shared" si="13"/>
        <v>672624</v>
      </c>
    </row>
    <row r="241" spans="1:11" x14ac:dyDescent="0.25">
      <c r="A241" s="222">
        <f t="shared" si="12"/>
        <v>13</v>
      </c>
      <c r="B241" s="179" t="s">
        <v>292</v>
      </c>
      <c r="C241" s="286" t="s">
        <v>37</v>
      </c>
      <c r="D241" s="222">
        <v>1</v>
      </c>
      <c r="E241" s="14">
        <v>210191</v>
      </c>
      <c r="F241" s="249">
        <f t="shared" si="13"/>
        <v>210191</v>
      </c>
    </row>
    <row r="242" spans="1:11" ht="43.5" x14ac:dyDescent="0.25">
      <c r="A242" s="222">
        <f t="shared" si="12"/>
        <v>14</v>
      </c>
      <c r="B242" s="13" t="s">
        <v>159</v>
      </c>
      <c r="C242" s="286" t="s">
        <v>37</v>
      </c>
      <c r="D242" s="286">
        <v>1</v>
      </c>
      <c r="E242" s="207">
        <v>345600</v>
      </c>
      <c r="F242" s="249">
        <f t="shared" si="13"/>
        <v>345600</v>
      </c>
    </row>
    <row r="243" spans="1:11" x14ac:dyDescent="0.25">
      <c r="A243" s="222">
        <f t="shared" si="12"/>
        <v>15</v>
      </c>
      <c r="B243" s="13" t="s">
        <v>85</v>
      </c>
      <c r="C243" s="286" t="s">
        <v>23</v>
      </c>
      <c r="D243" s="286">
        <v>1</v>
      </c>
      <c r="E243" s="207">
        <v>90583</v>
      </c>
      <c r="F243" s="249">
        <f t="shared" si="13"/>
        <v>90583</v>
      </c>
    </row>
    <row r="244" spans="1:11" x14ac:dyDescent="0.25">
      <c r="A244" s="222">
        <f t="shared" si="12"/>
        <v>16</v>
      </c>
      <c r="B244" s="179" t="s">
        <v>43</v>
      </c>
      <c r="C244" s="286"/>
      <c r="D244" s="286"/>
      <c r="E244" s="207">
        <v>0</v>
      </c>
      <c r="F244" s="249">
        <f t="shared" si="13"/>
        <v>0</v>
      </c>
    </row>
    <row r="245" spans="1:11" x14ac:dyDescent="0.25">
      <c r="A245" s="222">
        <f t="shared" si="12"/>
        <v>17</v>
      </c>
      <c r="B245" s="13" t="s">
        <v>44</v>
      </c>
      <c r="C245" s="286" t="s">
        <v>64</v>
      </c>
      <c r="D245" s="286">
        <v>6</v>
      </c>
      <c r="E245" s="207">
        <v>121019</v>
      </c>
      <c r="F245" s="249">
        <f t="shared" si="13"/>
        <v>726114</v>
      </c>
    </row>
    <row r="246" spans="1:11" ht="29.25" x14ac:dyDescent="0.25">
      <c r="A246" s="222">
        <f t="shared" si="12"/>
        <v>18</v>
      </c>
      <c r="B246" s="13" t="s">
        <v>45</v>
      </c>
      <c r="C246" s="286" t="s">
        <v>64</v>
      </c>
      <c r="D246" s="286">
        <v>36</v>
      </c>
      <c r="E246" s="207">
        <v>22197</v>
      </c>
      <c r="F246" s="249">
        <f t="shared" si="13"/>
        <v>799092</v>
      </c>
    </row>
    <row r="247" spans="1:11" x14ac:dyDescent="0.25">
      <c r="A247" s="222">
        <f t="shared" si="12"/>
        <v>19</v>
      </c>
      <c r="B247" s="13" t="s">
        <v>273</v>
      </c>
      <c r="C247" s="286" t="s">
        <v>64</v>
      </c>
      <c r="D247" s="286">
        <v>0.5</v>
      </c>
      <c r="E247" s="207">
        <v>145281</v>
      </c>
      <c r="F247" s="249">
        <f t="shared" si="13"/>
        <v>72641</v>
      </c>
    </row>
    <row r="248" spans="1:11" x14ac:dyDescent="0.25">
      <c r="A248" s="222">
        <f t="shared" si="12"/>
        <v>20</v>
      </c>
      <c r="B248" s="179" t="s">
        <v>48</v>
      </c>
      <c r="C248" s="286"/>
      <c r="D248" s="286"/>
      <c r="E248" s="207">
        <v>0</v>
      </c>
      <c r="F248" s="249">
        <f t="shared" si="13"/>
        <v>0</v>
      </c>
    </row>
    <row r="249" spans="1:11" ht="29.25" x14ac:dyDescent="0.25">
      <c r="A249" s="222">
        <f t="shared" si="12"/>
        <v>21</v>
      </c>
      <c r="B249" s="13" t="s">
        <v>50</v>
      </c>
      <c r="C249" s="286" t="s">
        <v>64</v>
      </c>
      <c r="D249" s="286">
        <v>0.2</v>
      </c>
      <c r="E249" s="207">
        <v>824735</v>
      </c>
      <c r="F249" s="249">
        <f t="shared" si="13"/>
        <v>164947</v>
      </c>
      <c r="K249" s="80"/>
    </row>
    <row r="250" spans="1:11" x14ac:dyDescent="0.25">
      <c r="A250" s="219"/>
      <c r="B250" s="18" t="s">
        <v>56</v>
      </c>
      <c r="C250" s="54"/>
      <c r="D250" s="130"/>
      <c r="E250" s="28"/>
      <c r="F250" s="28">
        <f>SUM(F230:F249)</f>
        <v>7183570</v>
      </c>
    </row>
    <row r="251" spans="1:11" x14ac:dyDescent="0.25">
      <c r="A251" s="19"/>
      <c r="B251" s="19" t="s">
        <v>60</v>
      </c>
      <c r="C251" s="19"/>
      <c r="D251" s="19"/>
      <c r="E251" s="19"/>
      <c r="F251" s="29">
        <f>ROUND(F250/1.3495,0)</f>
        <v>5323134</v>
      </c>
    </row>
    <row r="252" spans="1:11" x14ac:dyDescent="0.25">
      <c r="A252" s="19"/>
      <c r="B252" s="19" t="s">
        <v>61</v>
      </c>
      <c r="C252" s="131">
        <v>0.24</v>
      </c>
      <c r="D252" s="19"/>
      <c r="E252" s="19"/>
      <c r="F252" s="29">
        <f>ROUND(F251*C252,0)</f>
        <v>1277552</v>
      </c>
    </row>
    <row r="253" spans="1:11" x14ac:dyDescent="0.25">
      <c r="A253" s="19"/>
      <c r="B253" s="19" t="s">
        <v>57</v>
      </c>
      <c r="C253" s="131">
        <v>0.05</v>
      </c>
      <c r="D253" s="19"/>
      <c r="E253" s="19"/>
      <c r="F253" s="29">
        <f>ROUND(F251*C253,0)</f>
        <v>266157</v>
      </c>
    </row>
    <row r="254" spans="1:11" x14ac:dyDescent="0.25">
      <c r="A254" s="19"/>
      <c r="B254" s="19" t="s">
        <v>62</v>
      </c>
      <c r="C254" s="131">
        <v>0.05</v>
      </c>
      <c r="D254" s="19"/>
      <c r="E254" s="19"/>
      <c r="F254" s="29">
        <f>ROUND(F251*C254,0)</f>
        <v>266157</v>
      </c>
    </row>
    <row r="255" spans="1:11" x14ac:dyDescent="0.25">
      <c r="A255" s="19"/>
      <c r="B255" s="132" t="s">
        <v>63</v>
      </c>
      <c r="C255" s="133">
        <v>0.19</v>
      </c>
      <c r="D255" s="120"/>
      <c r="E255" s="120"/>
      <c r="F255" s="35">
        <f>ROUND(F254*19%,0)</f>
        <v>50570</v>
      </c>
    </row>
    <row r="256" spans="1:11" x14ac:dyDescent="0.25">
      <c r="A256" s="19"/>
      <c r="B256" s="18" t="s">
        <v>56</v>
      </c>
      <c r="C256" s="19"/>
      <c r="D256" s="19"/>
      <c r="E256" s="19"/>
      <c r="F256" s="30">
        <f>SUM(F251:F255)</f>
        <v>7183570</v>
      </c>
      <c r="H256" s="184"/>
    </row>
    <row r="257" spans="1:11" x14ac:dyDescent="0.25">
      <c r="H257" s="184"/>
    </row>
    <row r="258" spans="1:11" x14ac:dyDescent="0.25">
      <c r="A258" s="422" t="s">
        <v>293</v>
      </c>
      <c r="B258" s="422"/>
      <c r="C258" s="422"/>
      <c r="D258" s="422"/>
      <c r="E258" s="422"/>
      <c r="F258" s="422"/>
      <c r="H258" s="184"/>
    </row>
    <row r="259" spans="1:11" x14ac:dyDescent="0.25">
      <c r="A259" s="219" t="s">
        <v>10</v>
      </c>
      <c r="B259" s="219" t="s">
        <v>0</v>
      </c>
      <c r="C259" s="219" t="s">
        <v>11</v>
      </c>
      <c r="D259" s="54" t="s">
        <v>13</v>
      </c>
      <c r="E259" s="54" t="s">
        <v>14</v>
      </c>
      <c r="F259" s="54" t="s">
        <v>15</v>
      </c>
    </row>
    <row r="260" spans="1:11" x14ac:dyDescent="0.25">
      <c r="A260" s="222">
        <v>1</v>
      </c>
      <c r="B260" s="268" t="s">
        <v>16</v>
      </c>
      <c r="C260" s="420"/>
      <c r="D260" s="420"/>
      <c r="E260" s="420"/>
      <c r="F260" s="20"/>
    </row>
    <row r="261" spans="1:11" ht="28.5" x14ac:dyDescent="0.25">
      <c r="A261" s="222">
        <f t="shared" ref="A261:A289" si="14">A260+1</f>
        <v>2</v>
      </c>
      <c r="B261" s="9" t="s">
        <v>17</v>
      </c>
      <c r="C261" s="222" t="s">
        <v>18</v>
      </c>
      <c r="D261" s="31">
        <v>66</v>
      </c>
      <c r="E261" s="59">
        <v>5214</v>
      </c>
      <c r="F261" s="249">
        <f t="shared" ref="F261:F289" si="15">ROUND(D261*E261,0)</f>
        <v>344124</v>
      </c>
    </row>
    <row r="262" spans="1:11" ht="28.5" x14ac:dyDescent="0.25">
      <c r="A262" s="222">
        <f t="shared" si="14"/>
        <v>3</v>
      </c>
      <c r="B262" s="9" t="s">
        <v>19</v>
      </c>
      <c r="C262" s="222" t="s">
        <v>20</v>
      </c>
      <c r="D262" s="31">
        <v>384</v>
      </c>
      <c r="E262" s="59">
        <v>9047</v>
      </c>
      <c r="F262" s="249">
        <f t="shared" si="15"/>
        <v>3474048</v>
      </c>
    </row>
    <row r="263" spans="1:11" ht="42.75" x14ac:dyDescent="0.25">
      <c r="A263" s="222">
        <f t="shared" si="14"/>
        <v>4</v>
      </c>
      <c r="B263" s="9" t="s">
        <v>21</v>
      </c>
      <c r="C263" s="222" t="s">
        <v>18</v>
      </c>
      <c r="D263" s="31">
        <v>140</v>
      </c>
      <c r="E263" s="59">
        <v>13608</v>
      </c>
      <c r="F263" s="249">
        <f t="shared" si="15"/>
        <v>1905120</v>
      </c>
    </row>
    <row r="264" spans="1:11" x14ac:dyDescent="0.25">
      <c r="A264" s="222">
        <f t="shared" si="14"/>
        <v>5</v>
      </c>
      <c r="B264" s="9" t="s">
        <v>22</v>
      </c>
      <c r="C264" s="222" t="s">
        <v>120</v>
      </c>
      <c r="D264" s="31">
        <v>2</v>
      </c>
      <c r="E264" s="59">
        <v>155349</v>
      </c>
      <c r="F264" s="249">
        <f t="shared" si="15"/>
        <v>310698</v>
      </c>
      <c r="K264" s="80"/>
    </row>
    <row r="265" spans="1:11" x14ac:dyDescent="0.25">
      <c r="A265" s="222">
        <f t="shared" si="14"/>
        <v>6</v>
      </c>
      <c r="B265" s="268" t="s">
        <v>25</v>
      </c>
      <c r="C265" s="20"/>
      <c r="D265" s="20"/>
      <c r="E265" s="59">
        <v>0</v>
      </c>
      <c r="F265" s="249">
        <f t="shared" si="15"/>
        <v>0</v>
      </c>
    </row>
    <row r="266" spans="1:11" x14ac:dyDescent="0.25">
      <c r="A266" s="222">
        <f t="shared" si="14"/>
        <v>7</v>
      </c>
      <c r="B266" s="57" t="s">
        <v>26</v>
      </c>
      <c r="C266" s="222" t="s">
        <v>18</v>
      </c>
      <c r="D266" s="31">
        <v>300</v>
      </c>
      <c r="E266" s="59">
        <v>7630</v>
      </c>
      <c r="F266" s="249">
        <f t="shared" si="15"/>
        <v>2289000</v>
      </c>
    </row>
    <row r="267" spans="1:11" ht="42.75" x14ac:dyDescent="0.25">
      <c r="A267" s="222">
        <f t="shared" si="14"/>
        <v>8</v>
      </c>
      <c r="B267" s="9" t="s">
        <v>27</v>
      </c>
      <c r="C267" s="222" t="s">
        <v>64</v>
      </c>
      <c r="D267" s="31">
        <v>16</v>
      </c>
      <c r="E267" s="59">
        <v>83312</v>
      </c>
      <c r="F267" s="249">
        <f t="shared" si="15"/>
        <v>1332992</v>
      </c>
    </row>
    <row r="268" spans="1:11" x14ac:dyDescent="0.25">
      <c r="A268" s="222">
        <f t="shared" si="14"/>
        <v>9</v>
      </c>
      <c r="B268" s="268" t="s">
        <v>28</v>
      </c>
      <c r="C268" s="20"/>
      <c r="D268" s="20"/>
      <c r="E268" s="59">
        <v>0</v>
      </c>
      <c r="F268" s="249">
        <f t="shared" si="15"/>
        <v>0</v>
      </c>
    </row>
    <row r="269" spans="1:11" x14ac:dyDescent="0.25">
      <c r="A269" s="222">
        <f t="shared" si="14"/>
        <v>10</v>
      </c>
      <c r="B269" s="9" t="s">
        <v>29</v>
      </c>
      <c r="C269" s="222" t="s">
        <v>64</v>
      </c>
      <c r="D269" s="31">
        <v>205</v>
      </c>
      <c r="E269" s="59">
        <v>26317</v>
      </c>
      <c r="F269" s="249">
        <f t="shared" si="15"/>
        <v>5394985</v>
      </c>
    </row>
    <row r="270" spans="1:11" x14ac:dyDescent="0.25">
      <c r="A270" s="222">
        <f t="shared" si="14"/>
        <v>11</v>
      </c>
      <c r="B270" s="266" t="s">
        <v>31</v>
      </c>
      <c r="C270" s="222" t="s">
        <v>18</v>
      </c>
      <c r="D270" s="31">
        <v>10</v>
      </c>
      <c r="E270" s="59">
        <v>31128</v>
      </c>
      <c r="F270" s="249">
        <f t="shared" si="15"/>
        <v>311280</v>
      </c>
    </row>
    <row r="271" spans="1:11" ht="28.5" x14ac:dyDescent="0.25">
      <c r="A271" s="222">
        <f t="shared" si="14"/>
        <v>12</v>
      </c>
      <c r="B271" s="9" t="s">
        <v>279</v>
      </c>
      <c r="C271" s="222" t="s">
        <v>64</v>
      </c>
      <c r="D271" s="31">
        <v>69</v>
      </c>
      <c r="E271" s="59">
        <v>32749</v>
      </c>
      <c r="F271" s="249">
        <f t="shared" si="15"/>
        <v>2259681</v>
      </c>
    </row>
    <row r="272" spans="1:11" ht="30" x14ac:dyDescent="0.25">
      <c r="A272" s="222">
        <f t="shared" si="14"/>
        <v>13</v>
      </c>
      <c r="B272" s="267" t="s">
        <v>33</v>
      </c>
      <c r="C272" s="20"/>
      <c r="D272" s="20"/>
      <c r="E272" s="59">
        <v>0</v>
      </c>
      <c r="F272" s="249">
        <f t="shared" si="15"/>
        <v>0</v>
      </c>
    </row>
    <row r="273" spans="1:6" ht="28.5" x14ac:dyDescent="0.25">
      <c r="A273" s="222">
        <f t="shared" si="14"/>
        <v>14</v>
      </c>
      <c r="B273" s="9" t="s">
        <v>66</v>
      </c>
      <c r="C273" s="222" t="s">
        <v>18</v>
      </c>
      <c r="D273" s="31">
        <v>66</v>
      </c>
      <c r="E273" s="59">
        <v>23781</v>
      </c>
      <c r="F273" s="249">
        <f t="shared" si="15"/>
        <v>1569546</v>
      </c>
    </row>
    <row r="274" spans="1:6" ht="57" x14ac:dyDescent="0.25">
      <c r="A274" s="222">
        <f t="shared" si="14"/>
        <v>15</v>
      </c>
      <c r="B274" s="57" t="s">
        <v>35</v>
      </c>
      <c r="C274" s="222" t="s">
        <v>18</v>
      </c>
      <c r="D274" s="31">
        <v>2</v>
      </c>
      <c r="E274" s="59">
        <v>637411</v>
      </c>
      <c r="F274" s="249">
        <f t="shared" si="15"/>
        <v>1274822</v>
      </c>
    </row>
    <row r="275" spans="1:6" ht="57" x14ac:dyDescent="0.25">
      <c r="A275" s="222">
        <f t="shared" si="14"/>
        <v>16</v>
      </c>
      <c r="B275" s="9" t="s">
        <v>36</v>
      </c>
      <c r="C275" s="222" t="s">
        <v>37</v>
      </c>
      <c r="D275" s="31">
        <v>2</v>
      </c>
      <c r="E275" s="59">
        <v>920000</v>
      </c>
      <c r="F275" s="249">
        <f t="shared" si="15"/>
        <v>1840000</v>
      </c>
    </row>
    <row r="276" spans="1:6" x14ac:dyDescent="0.25">
      <c r="A276" s="222">
        <f t="shared" si="14"/>
        <v>17</v>
      </c>
      <c r="B276" s="266" t="s">
        <v>38</v>
      </c>
      <c r="C276" s="222" t="s">
        <v>37</v>
      </c>
      <c r="D276" s="31">
        <v>2</v>
      </c>
      <c r="E276" s="59">
        <v>540447</v>
      </c>
      <c r="F276" s="249">
        <f t="shared" si="15"/>
        <v>1080894</v>
      </c>
    </row>
    <row r="277" spans="1:6" ht="42.75" x14ac:dyDescent="0.25">
      <c r="A277" s="222">
        <f t="shared" si="14"/>
        <v>18</v>
      </c>
      <c r="B277" s="9" t="s">
        <v>39</v>
      </c>
      <c r="C277" s="222" t="s">
        <v>18</v>
      </c>
      <c r="D277" s="31">
        <v>84</v>
      </c>
      <c r="E277" s="59">
        <v>13802</v>
      </c>
      <c r="F277" s="249">
        <f t="shared" si="15"/>
        <v>1159368</v>
      </c>
    </row>
    <row r="278" spans="1:6" ht="42.75" x14ac:dyDescent="0.25">
      <c r="A278" s="222">
        <f t="shared" si="14"/>
        <v>19</v>
      </c>
      <c r="B278" s="9" t="s">
        <v>40</v>
      </c>
      <c r="C278" s="222" t="s">
        <v>120</v>
      </c>
      <c r="D278" s="31">
        <v>16</v>
      </c>
      <c r="E278" s="59">
        <v>399818</v>
      </c>
      <c r="F278" s="249">
        <f t="shared" si="15"/>
        <v>6397088</v>
      </c>
    </row>
    <row r="279" spans="1:6" x14ac:dyDescent="0.25">
      <c r="A279" s="222">
        <f t="shared" si="14"/>
        <v>20</v>
      </c>
      <c r="B279" s="9" t="s">
        <v>67</v>
      </c>
      <c r="C279" s="222" t="s">
        <v>120</v>
      </c>
      <c r="D279" s="31">
        <v>16</v>
      </c>
      <c r="E279" s="59">
        <v>43482</v>
      </c>
      <c r="F279" s="249">
        <f t="shared" si="15"/>
        <v>695712</v>
      </c>
    </row>
    <row r="280" spans="1:6" x14ac:dyDescent="0.25">
      <c r="A280" s="222">
        <f t="shared" si="14"/>
        <v>21</v>
      </c>
      <c r="B280" s="266" t="s">
        <v>42</v>
      </c>
      <c r="C280" s="222" t="s">
        <v>120</v>
      </c>
      <c r="D280" s="31">
        <v>2</v>
      </c>
      <c r="E280" s="59">
        <v>90312</v>
      </c>
      <c r="F280" s="249">
        <f t="shared" si="15"/>
        <v>180624</v>
      </c>
    </row>
    <row r="281" spans="1:6" x14ac:dyDescent="0.25">
      <c r="A281" s="222">
        <f t="shared" si="14"/>
        <v>22</v>
      </c>
      <c r="B281" s="268" t="s">
        <v>43</v>
      </c>
      <c r="C281" s="20"/>
      <c r="D281" s="20"/>
      <c r="E281" s="59">
        <v>0</v>
      </c>
      <c r="F281" s="249">
        <f t="shared" si="15"/>
        <v>0</v>
      </c>
    </row>
    <row r="282" spans="1:6" x14ac:dyDescent="0.25">
      <c r="A282" s="222">
        <f t="shared" si="14"/>
        <v>23</v>
      </c>
      <c r="B282" s="9" t="s">
        <v>44</v>
      </c>
      <c r="C282" s="222" t="s">
        <v>64</v>
      </c>
      <c r="D282" s="31">
        <v>13</v>
      </c>
      <c r="E282" s="59">
        <v>120657</v>
      </c>
      <c r="F282" s="249">
        <f t="shared" si="15"/>
        <v>1568541</v>
      </c>
    </row>
    <row r="283" spans="1:6" ht="28.5" x14ac:dyDescent="0.25">
      <c r="A283" s="222">
        <f t="shared" si="14"/>
        <v>24</v>
      </c>
      <c r="B283" s="9" t="s">
        <v>45</v>
      </c>
      <c r="C283" s="222" t="s">
        <v>64</v>
      </c>
      <c r="D283" s="31">
        <v>156</v>
      </c>
      <c r="E283" s="59">
        <v>22131</v>
      </c>
      <c r="F283" s="249">
        <f t="shared" si="15"/>
        <v>3452436</v>
      </c>
    </row>
    <row r="284" spans="1:6" x14ac:dyDescent="0.25">
      <c r="A284" s="222">
        <f t="shared" si="14"/>
        <v>25</v>
      </c>
      <c r="B284" s="266" t="s">
        <v>46</v>
      </c>
      <c r="C284" s="222" t="s">
        <v>64</v>
      </c>
      <c r="D284" s="31">
        <v>1</v>
      </c>
      <c r="E284" s="59">
        <v>144847</v>
      </c>
      <c r="F284" s="249">
        <f t="shared" si="15"/>
        <v>144847</v>
      </c>
    </row>
    <row r="285" spans="1:6" x14ac:dyDescent="0.25">
      <c r="A285" s="222">
        <f t="shared" si="14"/>
        <v>26</v>
      </c>
      <c r="B285" s="268" t="s">
        <v>48</v>
      </c>
      <c r="C285" s="20"/>
      <c r="D285" s="20"/>
      <c r="E285" s="59">
        <v>0</v>
      </c>
      <c r="F285" s="249">
        <f t="shared" si="15"/>
        <v>0</v>
      </c>
    </row>
    <row r="286" spans="1:6" ht="28.5" x14ac:dyDescent="0.25">
      <c r="A286" s="222">
        <f t="shared" si="14"/>
        <v>27</v>
      </c>
      <c r="B286" s="9" t="s">
        <v>49</v>
      </c>
      <c r="C286" s="222" t="s">
        <v>64</v>
      </c>
      <c r="D286" s="31">
        <v>1</v>
      </c>
      <c r="E286" s="59">
        <v>605480</v>
      </c>
      <c r="F286" s="249">
        <f t="shared" si="15"/>
        <v>605480</v>
      </c>
    </row>
    <row r="287" spans="1:6" ht="28.5" x14ac:dyDescent="0.25">
      <c r="A287" s="222">
        <f t="shared" si="14"/>
        <v>28</v>
      </c>
      <c r="B287" s="9" t="s">
        <v>50</v>
      </c>
      <c r="C287" s="222" t="s">
        <v>64</v>
      </c>
      <c r="D287" s="31">
        <v>1</v>
      </c>
      <c r="E287" s="59">
        <v>822268</v>
      </c>
      <c r="F287" s="249">
        <f t="shared" si="15"/>
        <v>822268</v>
      </c>
    </row>
    <row r="288" spans="1:6" x14ac:dyDescent="0.25">
      <c r="A288" s="222">
        <f t="shared" si="14"/>
        <v>29</v>
      </c>
      <c r="B288" s="268" t="s">
        <v>51</v>
      </c>
      <c r="C288" s="20"/>
      <c r="D288" s="20"/>
      <c r="E288" s="59">
        <v>0</v>
      </c>
      <c r="F288" s="249">
        <f t="shared" si="15"/>
        <v>0</v>
      </c>
    </row>
    <row r="289" spans="1:11" x14ac:dyDescent="0.25">
      <c r="A289" s="222">
        <f t="shared" si="14"/>
        <v>30</v>
      </c>
      <c r="B289" s="9" t="s">
        <v>52</v>
      </c>
      <c r="C289" s="222" t="s">
        <v>53</v>
      </c>
      <c r="D289" s="31">
        <v>36</v>
      </c>
      <c r="E289" s="59">
        <v>5922</v>
      </c>
      <c r="F289" s="249">
        <f t="shared" si="15"/>
        <v>213192</v>
      </c>
      <c r="K289" s="80"/>
    </row>
    <row r="290" spans="1:11" x14ac:dyDescent="0.25">
      <c r="A290" s="219"/>
      <c r="B290" s="18" t="s">
        <v>56</v>
      </c>
      <c r="C290" s="54"/>
      <c r="D290" s="130"/>
      <c r="E290" s="28"/>
      <c r="F290" s="28">
        <f>SUM(F261:F289)</f>
        <v>38626746</v>
      </c>
    </row>
    <row r="291" spans="1:11" x14ac:dyDescent="0.25">
      <c r="A291" s="19"/>
      <c r="B291" s="19" t="s">
        <v>60</v>
      </c>
      <c r="C291" s="19"/>
      <c r="D291" s="19"/>
      <c r="E291" s="19"/>
      <c r="F291" s="29">
        <f>ROUND(F290/1.3495,0)</f>
        <v>28623006</v>
      </c>
    </row>
    <row r="292" spans="1:11" x14ac:dyDescent="0.25">
      <c r="A292" s="19"/>
      <c r="B292" s="19" t="s">
        <v>61</v>
      </c>
      <c r="C292" s="131">
        <v>0.24</v>
      </c>
      <c r="D292" s="19"/>
      <c r="E292" s="19"/>
      <c r="F292" s="29">
        <f>ROUND(F291*C292,0)</f>
        <v>6869521</v>
      </c>
    </row>
    <row r="293" spans="1:11" x14ac:dyDescent="0.25">
      <c r="A293" s="19"/>
      <c r="B293" s="19" t="s">
        <v>57</v>
      </c>
      <c r="C293" s="131">
        <v>0.05</v>
      </c>
      <c r="D293" s="19"/>
      <c r="E293" s="19"/>
      <c r="F293" s="29">
        <f>ROUND(F291*C293,0)</f>
        <v>1431150</v>
      </c>
    </row>
    <row r="294" spans="1:11" x14ac:dyDescent="0.25">
      <c r="A294" s="19"/>
      <c r="B294" s="19" t="s">
        <v>62</v>
      </c>
      <c r="C294" s="131">
        <v>0.05</v>
      </c>
      <c r="D294" s="19"/>
      <c r="E294" s="19"/>
      <c r="F294" s="29">
        <f>ROUND(F291*C294,0)</f>
        <v>1431150</v>
      </c>
    </row>
    <row r="295" spans="1:11" x14ac:dyDescent="0.25">
      <c r="A295" s="19"/>
      <c r="B295" s="132" t="s">
        <v>63</v>
      </c>
      <c r="C295" s="133">
        <v>0.19</v>
      </c>
      <c r="D295" s="120"/>
      <c r="E295" s="120"/>
      <c r="F295" s="35">
        <f>ROUND(F294*19%,0)</f>
        <v>271919</v>
      </c>
    </row>
    <row r="296" spans="1:11" x14ac:dyDescent="0.25">
      <c r="A296" s="19"/>
      <c r="B296" s="18" t="s">
        <v>56</v>
      </c>
      <c r="C296" s="19"/>
      <c r="D296" s="19"/>
      <c r="E296" s="19"/>
      <c r="F296" s="30">
        <f>SUM(F291:F295)</f>
        <v>38626746</v>
      </c>
    </row>
    <row r="298" spans="1:11" x14ac:dyDescent="0.25">
      <c r="A298" s="422" t="s">
        <v>294</v>
      </c>
      <c r="B298" s="422"/>
      <c r="C298" s="422"/>
      <c r="D298" s="422"/>
      <c r="E298" s="422"/>
      <c r="F298" s="422"/>
    </row>
    <row r="299" spans="1:11" x14ac:dyDescent="0.25">
      <c r="A299" s="219" t="s">
        <v>10</v>
      </c>
      <c r="B299" s="219" t="s">
        <v>0</v>
      </c>
      <c r="C299" s="219" t="s">
        <v>11</v>
      </c>
      <c r="D299" s="54" t="s">
        <v>13</v>
      </c>
      <c r="E299" s="54" t="s">
        <v>14</v>
      </c>
      <c r="F299" s="54" t="s">
        <v>15</v>
      </c>
    </row>
    <row r="300" spans="1:11" x14ac:dyDescent="0.25">
      <c r="A300" s="222">
        <v>1</v>
      </c>
      <c r="B300" s="18" t="s">
        <v>16</v>
      </c>
      <c r="C300" s="420"/>
      <c r="D300" s="420"/>
      <c r="E300" s="420"/>
      <c r="F300" s="20"/>
    </row>
    <row r="301" spans="1:11" ht="29.25" x14ac:dyDescent="0.25">
      <c r="A301" s="222">
        <f t="shared" ref="A301:A324" si="16">A300+1</f>
        <v>2</v>
      </c>
      <c r="B301" s="17" t="s">
        <v>17</v>
      </c>
      <c r="C301" s="222" t="s">
        <v>18</v>
      </c>
      <c r="D301" s="31">
        <v>66</v>
      </c>
      <c r="E301" s="58">
        <v>5230</v>
      </c>
      <c r="F301" s="249">
        <f t="shared" ref="F301:F324" si="17">ROUND(D301*E301,0)</f>
        <v>345180</v>
      </c>
    </row>
    <row r="302" spans="1:11" ht="42.75" x14ac:dyDescent="0.25">
      <c r="A302" s="222">
        <f t="shared" si="16"/>
        <v>3</v>
      </c>
      <c r="B302" s="9" t="s">
        <v>21</v>
      </c>
      <c r="C302" s="222" t="s">
        <v>18</v>
      </c>
      <c r="D302" s="31">
        <v>144</v>
      </c>
      <c r="E302" s="59">
        <v>13608</v>
      </c>
      <c r="F302" s="249">
        <f t="shared" si="17"/>
        <v>1959552</v>
      </c>
    </row>
    <row r="303" spans="1:11" x14ac:dyDescent="0.25">
      <c r="A303" s="222">
        <f t="shared" si="16"/>
        <v>4</v>
      </c>
      <c r="B303" s="17" t="s">
        <v>22</v>
      </c>
      <c r="C303" s="222" t="s">
        <v>120</v>
      </c>
      <c r="D303" s="31">
        <v>2</v>
      </c>
      <c r="E303" s="58">
        <v>155814</v>
      </c>
      <c r="F303" s="249">
        <f t="shared" si="17"/>
        <v>311628</v>
      </c>
    </row>
    <row r="304" spans="1:11" x14ac:dyDescent="0.25">
      <c r="A304" s="222">
        <f t="shared" si="16"/>
        <v>5</v>
      </c>
      <c r="B304" s="18" t="s">
        <v>25</v>
      </c>
      <c r="C304" s="20"/>
      <c r="D304" s="20"/>
      <c r="E304" s="58">
        <v>0</v>
      </c>
      <c r="F304" s="249">
        <f t="shared" si="17"/>
        <v>0</v>
      </c>
    </row>
    <row r="305" spans="1:6" x14ac:dyDescent="0.25">
      <c r="A305" s="222">
        <f t="shared" si="16"/>
        <v>6</v>
      </c>
      <c r="B305" s="56" t="s">
        <v>26</v>
      </c>
      <c r="C305" s="222" t="s">
        <v>18</v>
      </c>
      <c r="D305" s="31">
        <f>66+66+90+90</f>
        <v>312</v>
      </c>
      <c r="E305" s="58">
        <v>7652</v>
      </c>
      <c r="F305" s="249">
        <f t="shared" si="17"/>
        <v>2387424</v>
      </c>
    </row>
    <row r="306" spans="1:6" ht="42.75" x14ac:dyDescent="0.25">
      <c r="A306" s="222">
        <f t="shared" si="16"/>
        <v>7</v>
      </c>
      <c r="B306" s="9" t="s">
        <v>27</v>
      </c>
      <c r="C306" s="222" t="s">
        <v>64</v>
      </c>
      <c r="D306" s="31">
        <v>10</v>
      </c>
      <c r="E306" s="58">
        <v>83560</v>
      </c>
      <c r="F306" s="249">
        <f t="shared" si="17"/>
        <v>835600</v>
      </c>
    </row>
    <row r="307" spans="1:6" x14ac:dyDescent="0.25">
      <c r="A307" s="222">
        <f t="shared" si="16"/>
        <v>8</v>
      </c>
      <c r="B307" s="18" t="s">
        <v>28</v>
      </c>
      <c r="C307" s="20"/>
      <c r="D307" s="20"/>
      <c r="E307" s="58">
        <v>0</v>
      </c>
      <c r="F307" s="249">
        <f t="shared" si="17"/>
        <v>0</v>
      </c>
    </row>
    <row r="308" spans="1:6" x14ac:dyDescent="0.25">
      <c r="A308" s="222">
        <f t="shared" si="16"/>
        <v>9</v>
      </c>
      <c r="B308" s="17" t="s">
        <v>29</v>
      </c>
      <c r="C308" s="222" t="s">
        <v>64</v>
      </c>
      <c r="D308" s="31">
        <v>52</v>
      </c>
      <c r="E308" s="58">
        <v>26395</v>
      </c>
      <c r="F308" s="249">
        <f t="shared" si="17"/>
        <v>1372540</v>
      </c>
    </row>
    <row r="309" spans="1:6" ht="29.25" x14ac:dyDescent="0.25">
      <c r="A309" s="222">
        <f t="shared" si="16"/>
        <v>10</v>
      </c>
      <c r="B309" s="17" t="s">
        <v>279</v>
      </c>
      <c r="C309" s="222" t="s">
        <v>64</v>
      </c>
      <c r="D309" s="31">
        <v>36</v>
      </c>
      <c r="E309" s="58">
        <v>32848</v>
      </c>
      <c r="F309" s="249">
        <f t="shared" si="17"/>
        <v>1182528</v>
      </c>
    </row>
    <row r="310" spans="1:6" x14ac:dyDescent="0.25">
      <c r="A310" s="222">
        <f t="shared" si="16"/>
        <v>11</v>
      </c>
      <c r="B310" s="18" t="s">
        <v>80</v>
      </c>
      <c r="C310" s="20"/>
      <c r="D310" s="20"/>
      <c r="E310" s="243">
        <v>0</v>
      </c>
      <c r="F310" s="249">
        <f t="shared" si="17"/>
        <v>0</v>
      </c>
    </row>
    <row r="311" spans="1:6" x14ac:dyDescent="0.25">
      <c r="A311" s="222">
        <f t="shared" si="16"/>
        <v>12</v>
      </c>
      <c r="B311" s="55" t="s">
        <v>284</v>
      </c>
      <c r="C311" s="222" t="s">
        <v>18</v>
      </c>
      <c r="D311" s="31">
        <v>66</v>
      </c>
      <c r="E311" s="58">
        <v>5945</v>
      </c>
      <c r="F311" s="249">
        <f t="shared" si="17"/>
        <v>392370</v>
      </c>
    </row>
    <row r="312" spans="1:6" ht="42.75" x14ac:dyDescent="0.25">
      <c r="A312" s="222">
        <f t="shared" si="16"/>
        <v>13</v>
      </c>
      <c r="B312" s="9" t="s">
        <v>285</v>
      </c>
      <c r="C312" s="222" t="s">
        <v>37</v>
      </c>
      <c r="D312" s="31">
        <v>16</v>
      </c>
      <c r="E312" s="58">
        <v>42039</v>
      </c>
      <c r="F312" s="249">
        <f t="shared" si="17"/>
        <v>672624</v>
      </c>
    </row>
    <row r="313" spans="1:6" x14ac:dyDescent="0.25">
      <c r="A313" s="222">
        <f t="shared" si="16"/>
        <v>14</v>
      </c>
      <c r="B313" s="57" t="s">
        <v>286</v>
      </c>
      <c r="C313" s="222" t="s">
        <v>37</v>
      </c>
      <c r="D313" s="31">
        <v>2</v>
      </c>
      <c r="E313" s="58">
        <v>210191</v>
      </c>
      <c r="F313" s="249">
        <f t="shared" si="17"/>
        <v>420382</v>
      </c>
    </row>
    <row r="314" spans="1:6" ht="57.75" x14ac:dyDescent="0.25">
      <c r="A314" s="222">
        <f t="shared" si="16"/>
        <v>15</v>
      </c>
      <c r="B314" s="17" t="s">
        <v>287</v>
      </c>
      <c r="C314" s="222" t="s">
        <v>37</v>
      </c>
      <c r="D314" s="31">
        <v>2</v>
      </c>
      <c r="E314" s="58">
        <v>345600</v>
      </c>
      <c r="F314" s="249">
        <f t="shared" si="17"/>
        <v>691200</v>
      </c>
    </row>
    <row r="315" spans="1:6" x14ac:dyDescent="0.25">
      <c r="A315" s="222">
        <f t="shared" si="16"/>
        <v>16</v>
      </c>
      <c r="B315" s="17" t="s">
        <v>288</v>
      </c>
      <c r="C315" s="222" t="s">
        <v>120</v>
      </c>
      <c r="D315" s="31">
        <v>2</v>
      </c>
      <c r="E315" s="58">
        <v>90583</v>
      </c>
      <c r="F315" s="249">
        <f t="shared" si="17"/>
        <v>181166</v>
      </c>
    </row>
    <row r="316" spans="1:6" x14ac:dyDescent="0.25">
      <c r="A316" s="222">
        <f t="shared" si="16"/>
        <v>17</v>
      </c>
      <c r="B316" s="18" t="s">
        <v>43</v>
      </c>
      <c r="C316" s="20"/>
      <c r="D316" s="20"/>
      <c r="E316" s="58">
        <v>0</v>
      </c>
      <c r="F316" s="249">
        <f t="shared" si="17"/>
        <v>0</v>
      </c>
    </row>
    <row r="317" spans="1:6" x14ac:dyDescent="0.25">
      <c r="A317" s="222">
        <f t="shared" si="16"/>
        <v>18</v>
      </c>
      <c r="B317" s="9" t="s">
        <v>44</v>
      </c>
      <c r="C317" s="222" t="s">
        <v>64</v>
      </c>
      <c r="D317" s="31">
        <v>7</v>
      </c>
      <c r="E317" s="58">
        <v>121019</v>
      </c>
      <c r="F317" s="249">
        <f t="shared" si="17"/>
        <v>847133</v>
      </c>
    </row>
    <row r="318" spans="1:6" ht="29.25" x14ac:dyDescent="0.25">
      <c r="A318" s="222">
        <f t="shared" si="16"/>
        <v>19</v>
      </c>
      <c r="B318" s="17" t="s">
        <v>45</v>
      </c>
      <c r="C318" s="222" t="s">
        <v>64</v>
      </c>
      <c r="D318" s="31">
        <v>27</v>
      </c>
      <c r="E318" s="58">
        <v>22197</v>
      </c>
      <c r="F318" s="249">
        <f t="shared" si="17"/>
        <v>599319</v>
      </c>
    </row>
    <row r="319" spans="1:6" x14ac:dyDescent="0.25">
      <c r="A319" s="222">
        <f t="shared" si="16"/>
        <v>20</v>
      </c>
      <c r="B319" s="55" t="s">
        <v>46</v>
      </c>
      <c r="C319" s="222" t="s">
        <v>64</v>
      </c>
      <c r="D319" s="31">
        <v>1</v>
      </c>
      <c r="E319" s="58">
        <v>145281</v>
      </c>
      <c r="F319" s="249">
        <f t="shared" si="17"/>
        <v>145281</v>
      </c>
    </row>
    <row r="320" spans="1:6" x14ac:dyDescent="0.25">
      <c r="A320" s="222">
        <f t="shared" si="16"/>
        <v>21</v>
      </c>
      <c r="B320" s="18" t="s">
        <v>48</v>
      </c>
      <c r="C320" s="20"/>
      <c r="D320" s="20"/>
      <c r="E320" s="58">
        <v>0</v>
      </c>
      <c r="F320" s="249">
        <f t="shared" si="17"/>
        <v>0</v>
      </c>
    </row>
    <row r="321" spans="1:11" ht="29.25" x14ac:dyDescent="0.25">
      <c r="A321" s="222">
        <f t="shared" si="16"/>
        <v>22</v>
      </c>
      <c r="B321" s="17" t="s">
        <v>49</v>
      </c>
      <c r="C321" s="222" t="s">
        <v>64</v>
      </c>
      <c r="D321" s="31">
        <v>0.5</v>
      </c>
      <c r="E321" s="58">
        <v>607296</v>
      </c>
      <c r="F321" s="249">
        <f t="shared" si="17"/>
        <v>303648</v>
      </c>
    </row>
    <row r="322" spans="1:11" ht="29.25" x14ac:dyDescent="0.25">
      <c r="A322" s="222">
        <f t="shared" si="16"/>
        <v>23</v>
      </c>
      <c r="B322" s="17" t="s">
        <v>50</v>
      </c>
      <c r="C322" s="222" t="s">
        <v>64</v>
      </c>
      <c r="D322" s="31">
        <v>1</v>
      </c>
      <c r="E322" s="58">
        <v>824735</v>
      </c>
      <c r="F322" s="249">
        <f t="shared" si="17"/>
        <v>824735</v>
      </c>
    </row>
    <row r="323" spans="1:11" x14ac:dyDescent="0.25">
      <c r="A323" s="222">
        <f t="shared" si="16"/>
        <v>24</v>
      </c>
      <c r="B323" s="18" t="s">
        <v>51</v>
      </c>
      <c r="C323" s="20"/>
      <c r="D323" s="20"/>
      <c r="E323" s="58">
        <v>0</v>
      </c>
      <c r="F323" s="249">
        <f t="shared" si="17"/>
        <v>0</v>
      </c>
    </row>
    <row r="324" spans="1:11" x14ac:dyDescent="0.25">
      <c r="A324" s="222">
        <f t="shared" si="16"/>
        <v>25</v>
      </c>
      <c r="B324" s="17" t="s">
        <v>52</v>
      </c>
      <c r="C324" s="222" t="s">
        <v>53</v>
      </c>
      <c r="D324" s="31">
        <v>36</v>
      </c>
      <c r="E324" s="58">
        <v>5922</v>
      </c>
      <c r="F324" s="249">
        <f t="shared" si="17"/>
        <v>213192</v>
      </c>
      <c r="K324" s="80"/>
    </row>
    <row r="325" spans="1:11" x14ac:dyDescent="0.25">
      <c r="A325" s="219"/>
      <c r="B325" s="18" t="s">
        <v>56</v>
      </c>
      <c r="C325" s="54"/>
      <c r="D325" s="130"/>
      <c r="E325" s="28"/>
      <c r="F325" s="28">
        <f>ROUND((F324+F323+F322+F321+F320+F319+F318+F317+F316+F315+F314+F313+F312+F311+F310+F309+F308+F307+F306+F305+F304+F303+F301+F302),0)</f>
        <v>13685502</v>
      </c>
    </row>
    <row r="326" spans="1:11" x14ac:dyDescent="0.25">
      <c r="A326" s="19"/>
      <c r="B326" s="19" t="s">
        <v>60</v>
      </c>
      <c r="C326" s="19"/>
      <c r="D326" s="19"/>
      <c r="E326" s="19"/>
      <c r="F326" s="29">
        <f>ROUND(F325/1.3495,0)</f>
        <v>10141165</v>
      </c>
    </row>
    <row r="327" spans="1:11" x14ac:dyDescent="0.25">
      <c r="A327" s="19"/>
      <c r="B327" s="19" t="s">
        <v>61</v>
      </c>
      <c r="C327" s="131">
        <v>0.24</v>
      </c>
      <c r="D327" s="19"/>
      <c r="E327" s="19"/>
      <c r="F327" s="29">
        <f>ROUND(F326*C327,0)</f>
        <v>2433880</v>
      </c>
    </row>
    <row r="328" spans="1:11" x14ac:dyDescent="0.25">
      <c r="A328" s="19"/>
      <c r="B328" s="19" t="s">
        <v>57</v>
      </c>
      <c r="C328" s="131">
        <v>0.05</v>
      </c>
      <c r="D328" s="19"/>
      <c r="E328" s="19"/>
      <c r="F328" s="29">
        <f>ROUND(F326*C328,0)</f>
        <v>507058</v>
      </c>
    </row>
    <row r="329" spans="1:11" x14ac:dyDescent="0.25">
      <c r="A329" s="19"/>
      <c r="B329" s="19" t="s">
        <v>62</v>
      </c>
      <c r="C329" s="131">
        <v>0.05</v>
      </c>
      <c r="D329" s="19"/>
      <c r="E329" s="19"/>
      <c r="F329" s="29">
        <f>ROUND(F326*C329,0)</f>
        <v>507058</v>
      </c>
    </row>
    <row r="330" spans="1:11" x14ac:dyDescent="0.25">
      <c r="A330" s="19"/>
      <c r="B330" s="132" t="s">
        <v>63</v>
      </c>
      <c r="C330" s="133">
        <v>0.19</v>
      </c>
      <c r="D330" s="120"/>
      <c r="E330" s="120"/>
      <c r="F330" s="35">
        <f>ROUND(F329*19%,0)</f>
        <v>96341</v>
      </c>
    </row>
    <row r="331" spans="1:11" x14ac:dyDescent="0.25">
      <c r="A331" s="19"/>
      <c r="B331" s="18" t="s">
        <v>56</v>
      </c>
      <c r="C331" s="19"/>
      <c r="D331" s="19"/>
      <c r="E331" s="19"/>
      <c r="F331" s="30">
        <f>SUM(F326:F330)</f>
        <v>13685502</v>
      </c>
    </row>
    <row r="333" spans="1:11" x14ac:dyDescent="0.25">
      <c r="A333" s="422" t="s">
        <v>296</v>
      </c>
      <c r="B333" s="422"/>
      <c r="C333" s="422"/>
      <c r="D333" s="422"/>
      <c r="E333" s="422"/>
      <c r="F333" s="422"/>
    </row>
    <row r="334" spans="1:11" x14ac:dyDescent="0.25">
      <c r="A334" s="219" t="s">
        <v>10</v>
      </c>
      <c r="B334" s="219" t="s">
        <v>0</v>
      </c>
      <c r="C334" s="219" t="s">
        <v>11</v>
      </c>
      <c r="D334" s="54" t="s">
        <v>13</v>
      </c>
      <c r="E334" s="54" t="s">
        <v>14</v>
      </c>
      <c r="F334" s="54" t="s">
        <v>15</v>
      </c>
    </row>
    <row r="335" spans="1:11" x14ac:dyDescent="0.25">
      <c r="A335" s="222">
        <v>1</v>
      </c>
      <c r="B335" s="18" t="s">
        <v>16</v>
      </c>
      <c r="C335" s="420"/>
      <c r="D335" s="420"/>
      <c r="E335" s="420"/>
      <c r="F335" s="20"/>
    </row>
    <row r="336" spans="1:11" x14ac:dyDescent="0.25">
      <c r="A336" s="222">
        <f t="shared" ref="A336:A363" si="18">A335+1</f>
        <v>2</v>
      </c>
      <c r="B336" s="55" t="s">
        <v>70</v>
      </c>
      <c r="C336" s="222" t="s">
        <v>18</v>
      </c>
      <c r="D336" s="31">
        <v>96</v>
      </c>
      <c r="E336" s="59">
        <v>5214</v>
      </c>
      <c r="F336" s="249">
        <f t="shared" ref="F336:F363" si="19">ROUND(D336*E336,0)</f>
        <v>500544</v>
      </c>
    </row>
    <row r="337" spans="1:11" ht="43.5" x14ac:dyDescent="0.25">
      <c r="A337" s="222">
        <f>A336+1</f>
        <v>3</v>
      </c>
      <c r="B337" s="17" t="s">
        <v>21</v>
      </c>
      <c r="C337" s="222" t="s">
        <v>18</v>
      </c>
      <c r="D337" s="31">
        <v>204</v>
      </c>
      <c r="E337" s="59">
        <v>13608</v>
      </c>
      <c r="F337" s="249">
        <f t="shared" si="19"/>
        <v>2776032</v>
      </c>
    </row>
    <row r="338" spans="1:11" x14ac:dyDescent="0.25">
      <c r="A338" s="222">
        <f t="shared" si="18"/>
        <v>4</v>
      </c>
      <c r="B338" s="17" t="s">
        <v>22</v>
      </c>
      <c r="C338" s="222" t="s">
        <v>120</v>
      </c>
      <c r="D338" s="31">
        <v>2</v>
      </c>
      <c r="E338" s="59">
        <v>155349</v>
      </c>
      <c r="F338" s="249">
        <f t="shared" si="19"/>
        <v>310698</v>
      </c>
      <c r="K338" s="80"/>
    </row>
    <row r="339" spans="1:11" x14ac:dyDescent="0.25">
      <c r="A339" s="222">
        <f t="shared" si="18"/>
        <v>5</v>
      </c>
      <c r="B339" s="18" t="s">
        <v>25</v>
      </c>
      <c r="C339" s="20"/>
      <c r="D339" s="20"/>
      <c r="E339" s="59"/>
      <c r="F339" s="249">
        <f t="shared" si="19"/>
        <v>0</v>
      </c>
    </row>
    <row r="340" spans="1:11" x14ac:dyDescent="0.25">
      <c r="A340" s="222">
        <f t="shared" si="18"/>
        <v>6</v>
      </c>
      <c r="B340" s="56" t="s">
        <v>26</v>
      </c>
      <c r="C340" s="222" t="s">
        <v>18</v>
      </c>
      <c r="D340" s="31">
        <v>312</v>
      </c>
      <c r="E340" s="59">
        <v>7630</v>
      </c>
      <c r="F340" s="249">
        <f t="shared" si="19"/>
        <v>2380560</v>
      </c>
    </row>
    <row r="341" spans="1:11" ht="42.75" x14ac:dyDescent="0.25">
      <c r="A341" s="222">
        <f t="shared" si="18"/>
        <v>7</v>
      </c>
      <c r="B341" s="9" t="s">
        <v>27</v>
      </c>
      <c r="C341" s="222" t="s">
        <v>64</v>
      </c>
      <c r="D341" s="31">
        <v>18</v>
      </c>
      <c r="E341" s="59">
        <v>83312</v>
      </c>
      <c r="F341" s="249">
        <f t="shared" si="19"/>
        <v>1499616</v>
      </c>
    </row>
    <row r="342" spans="1:11" x14ac:dyDescent="0.25">
      <c r="A342" s="222">
        <f t="shared" si="18"/>
        <v>8</v>
      </c>
      <c r="B342" s="18" t="s">
        <v>28</v>
      </c>
      <c r="C342" s="20"/>
      <c r="D342" s="20"/>
      <c r="E342" s="59"/>
      <c r="F342" s="249">
        <f t="shared" si="19"/>
        <v>0</v>
      </c>
    </row>
    <row r="343" spans="1:11" x14ac:dyDescent="0.25">
      <c r="A343" s="222">
        <f t="shared" si="18"/>
        <v>9</v>
      </c>
      <c r="B343" s="17" t="s">
        <v>29</v>
      </c>
      <c r="C343" s="222" t="s">
        <v>64</v>
      </c>
      <c r="D343" s="31">
        <v>240</v>
      </c>
      <c r="E343" s="59">
        <v>26317</v>
      </c>
      <c r="F343" s="249">
        <f t="shared" si="19"/>
        <v>6316080</v>
      </c>
    </row>
    <row r="344" spans="1:11" x14ac:dyDescent="0.25">
      <c r="A344" s="222">
        <f t="shared" si="18"/>
        <v>10</v>
      </c>
      <c r="B344" s="17" t="s">
        <v>31</v>
      </c>
      <c r="C344" s="222" t="s">
        <v>18</v>
      </c>
      <c r="D344" s="31">
        <v>96</v>
      </c>
      <c r="E344" s="59">
        <v>31128</v>
      </c>
      <c r="F344" s="249">
        <f t="shared" si="19"/>
        <v>2988288</v>
      </c>
    </row>
    <row r="345" spans="1:11" ht="29.25" x14ac:dyDescent="0.25">
      <c r="A345" s="222">
        <f t="shared" si="18"/>
        <v>11</v>
      </c>
      <c r="B345" s="17" t="s">
        <v>279</v>
      </c>
      <c r="C345" s="222" t="s">
        <v>64</v>
      </c>
      <c r="D345" s="31">
        <v>60</v>
      </c>
      <c r="E345" s="59">
        <v>32749</v>
      </c>
      <c r="F345" s="249">
        <f t="shared" si="19"/>
        <v>1964940</v>
      </c>
    </row>
    <row r="346" spans="1:11" ht="30" x14ac:dyDescent="0.25">
      <c r="A346" s="222">
        <f t="shared" si="18"/>
        <v>12</v>
      </c>
      <c r="B346" s="188" t="s">
        <v>33</v>
      </c>
      <c r="C346" s="20"/>
      <c r="D346" s="20"/>
      <c r="E346" s="242"/>
      <c r="F346" s="249">
        <f t="shared" si="19"/>
        <v>0</v>
      </c>
    </row>
    <row r="347" spans="1:11" ht="29.25" x14ac:dyDescent="0.25">
      <c r="A347" s="222">
        <f t="shared" si="18"/>
        <v>13</v>
      </c>
      <c r="B347" s="17" t="s">
        <v>297</v>
      </c>
      <c r="C347" s="222" t="s">
        <v>18</v>
      </c>
      <c r="D347" s="31">
        <v>96</v>
      </c>
      <c r="E347" s="59">
        <v>35658</v>
      </c>
      <c r="F347" s="249">
        <f t="shared" si="19"/>
        <v>3423168</v>
      </c>
    </row>
    <row r="348" spans="1:11" ht="57" x14ac:dyDescent="0.25">
      <c r="A348" s="222">
        <f t="shared" si="18"/>
        <v>14</v>
      </c>
      <c r="B348" s="57" t="s">
        <v>35</v>
      </c>
      <c r="C348" s="222" t="s">
        <v>18</v>
      </c>
      <c r="D348" s="31">
        <v>4</v>
      </c>
      <c r="E348" s="59">
        <v>637411</v>
      </c>
      <c r="F348" s="249">
        <f t="shared" si="19"/>
        <v>2549644</v>
      </c>
    </row>
    <row r="349" spans="1:11" ht="43.5" x14ac:dyDescent="0.25">
      <c r="A349" s="222">
        <f t="shared" si="18"/>
        <v>15</v>
      </c>
      <c r="B349" s="17" t="s">
        <v>276</v>
      </c>
      <c r="C349" s="222" t="s">
        <v>37</v>
      </c>
      <c r="D349" s="31">
        <v>3</v>
      </c>
      <c r="E349" s="59">
        <v>777450</v>
      </c>
      <c r="F349" s="249">
        <f t="shared" si="19"/>
        <v>2332350</v>
      </c>
    </row>
    <row r="350" spans="1:11" x14ac:dyDescent="0.25">
      <c r="A350" s="222">
        <f t="shared" si="18"/>
        <v>16</v>
      </c>
      <c r="B350" s="55" t="s">
        <v>38</v>
      </c>
      <c r="C350" s="222" t="s">
        <v>37</v>
      </c>
      <c r="D350" s="31">
        <v>3</v>
      </c>
      <c r="E350" s="59">
        <v>540447</v>
      </c>
      <c r="F350" s="249">
        <f t="shared" si="19"/>
        <v>1621341</v>
      </c>
    </row>
    <row r="351" spans="1:11" ht="43.5" x14ac:dyDescent="0.25">
      <c r="A351" s="222">
        <f t="shared" si="18"/>
        <v>17</v>
      </c>
      <c r="B351" s="17" t="s">
        <v>39</v>
      </c>
      <c r="C351" s="222" t="s">
        <v>18</v>
      </c>
      <c r="D351" s="31">
        <v>60</v>
      </c>
      <c r="E351" s="59">
        <v>13802</v>
      </c>
      <c r="F351" s="249">
        <f t="shared" si="19"/>
        <v>828120</v>
      </c>
    </row>
    <row r="352" spans="1:11" ht="43.5" x14ac:dyDescent="0.25">
      <c r="A352" s="222">
        <f t="shared" si="18"/>
        <v>18</v>
      </c>
      <c r="B352" s="17" t="s">
        <v>40</v>
      </c>
      <c r="C352" s="222" t="s">
        <v>120</v>
      </c>
      <c r="D352" s="31">
        <v>10</v>
      </c>
      <c r="E352" s="59">
        <v>399818</v>
      </c>
      <c r="F352" s="249">
        <f t="shared" si="19"/>
        <v>3998180</v>
      </c>
    </row>
    <row r="353" spans="1:11" x14ac:dyDescent="0.25">
      <c r="A353" s="222">
        <f t="shared" si="18"/>
        <v>19</v>
      </c>
      <c r="B353" s="17" t="s">
        <v>298</v>
      </c>
      <c r="C353" s="222" t="s">
        <v>120</v>
      </c>
      <c r="D353" s="31">
        <v>10</v>
      </c>
      <c r="E353" s="296">
        <f>3623*16</f>
        <v>57968</v>
      </c>
      <c r="F353" s="249">
        <f t="shared" si="19"/>
        <v>579680</v>
      </c>
    </row>
    <row r="354" spans="1:11" x14ac:dyDescent="0.25">
      <c r="A354" s="222">
        <f t="shared" si="18"/>
        <v>20</v>
      </c>
      <c r="B354" s="55" t="s">
        <v>42</v>
      </c>
      <c r="C354" s="222" t="s">
        <v>120</v>
      </c>
      <c r="D354" s="31">
        <v>4</v>
      </c>
      <c r="E354" s="59">
        <v>90312</v>
      </c>
      <c r="F354" s="249">
        <f t="shared" si="19"/>
        <v>361248</v>
      </c>
    </row>
    <row r="355" spans="1:11" x14ac:dyDescent="0.25">
      <c r="A355" s="222">
        <f t="shared" si="18"/>
        <v>21</v>
      </c>
      <c r="B355" s="18" t="s">
        <v>43</v>
      </c>
      <c r="C355" s="20"/>
      <c r="D355" s="20"/>
      <c r="E355" s="59"/>
      <c r="F355" s="249">
        <f t="shared" si="19"/>
        <v>0</v>
      </c>
    </row>
    <row r="356" spans="1:11" x14ac:dyDescent="0.25">
      <c r="A356" s="222">
        <f t="shared" si="18"/>
        <v>22</v>
      </c>
      <c r="B356" s="9" t="s">
        <v>44</v>
      </c>
      <c r="C356" s="222" t="s">
        <v>64</v>
      </c>
      <c r="D356" s="31">
        <v>15</v>
      </c>
      <c r="E356" s="59">
        <v>120657</v>
      </c>
      <c r="F356" s="249">
        <f t="shared" si="19"/>
        <v>1809855</v>
      </c>
    </row>
    <row r="357" spans="1:11" ht="29.25" x14ac:dyDescent="0.25">
      <c r="A357" s="222">
        <f t="shared" si="18"/>
        <v>23</v>
      </c>
      <c r="B357" s="17" t="s">
        <v>45</v>
      </c>
      <c r="C357" s="222" t="s">
        <v>64</v>
      </c>
      <c r="D357" s="31">
        <v>184</v>
      </c>
      <c r="E357" s="59">
        <v>2131</v>
      </c>
      <c r="F357" s="249">
        <f t="shared" si="19"/>
        <v>392104</v>
      </c>
    </row>
    <row r="358" spans="1:11" x14ac:dyDescent="0.25">
      <c r="A358" s="222">
        <f t="shared" si="18"/>
        <v>24</v>
      </c>
      <c r="B358" s="17" t="s">
        <v>46</v>
      </c>
      <c r="C358" s="222" t="s">
        <v>64</v>
      </c>
      <c r="D358" s="31">
        <v>1</v>
      </c>
      <c r="E358" s="59">
        <v>144847</v>
      </c>
      <c r="F358" s="249">
        <f t="shared" si="19"/>
        <v>144847</v>
      </c>
    </row>
    <row r="359" spans="1:11" x14ac:dyDescent="0.25">
      <c r="A359" s="222">
        <f t="shared" si="18"/>
        <v>25</v>
      </c>
      <c r="B359" s="18" t="s">
        <v>48</v>
      </c>
      <c r="C359" s="20"/>
      <c r="D359" s="20"/>
      <c r="E359" s="59"/>
      <c r="F359" s="249">
        <f t="shared" si="19"/>
        <v>0</v>
      </c>
    </row>
    <row r="360" spans="1:11" ht="29.25" x14ac:dyDescent="0.25">
      <c r="A360" s="222">
        <f t="shared" si="18"/>
        <v>26</v>
      </c>
      <c r="B360" s="17" t="s">
        <v>49</v>
      </c>
      <c r="C360" s="222" t="s">
        <v>64</v>
      </c>
      <c r="D360" s="31">
        <v>1</v>
      </c>
      <c r="E360" s="59">
        <v>605480</v>
      </c>
      <c r="F360" s="249">
        <f t="shared" si="19"/>
        <v>605480</v>
      </c>
    </row>
    <row r="361" spans="1:11" ht="29.25" x14ac:dyDescent="0.25">
      <c r="A361" s="222">
        <f t="shared" si="18"/>
        <v>27</v>
      </c>
      <c r="B361" s="17" t="s">
        <v>50</v>
      </c>
      <c r="C361" s="222" t="s">
        <v>64</v>
      </c>
      <c r="D361" s="31">
        <v>1</v>
      </c>
      <c r="E361" s="59">
        <v>822268</v>
      </c>
      <c r="F361" s="249">
        <f t="shared" si="19"/>
        <v>822268</v>
      </c>
    </row>
    <row r="362" spans="1:11" x14ac:dyDescent="0.25">
      <c r="A362" s="222">
        <f t="shared" si="18"/>
        <v>28</v>
      </c>
      <c r="B362" s="18" t="s">
        <v>51</v>
      </c>
      <c r="C362" s="20"/>
      <c r="D362" s="20"/>
      <c r="E362" s="59"/>
      <c r="F362" s="249">
        <f t="shared" si="19"/>
        <v>0</v>
      </c>
    </row>
    <row r="363" spans="1:11" x14ac:dyDescent="0.25">
      <c r="A363" s="222">
        <f t="shared" si="18"/>
        <v>29</v>
      </c>
      <c r="B363" s="17" t="s">
        <v>52</v>
      </c>
      <c r="C363" s="222" t="s">
        <v>53</v>
      </c>
      <c r="D363" s="31">
        <v>60</v>
      </c>
      <c r="E363" s="59">
        <v>5922</v>
      </c>
      <c r="F363" s="249">
        <f t="shared" si="19"/>
        <v>355320</v>
      </c>
      <c r="K363" s="80"/>
    </row>
    <row r="364" spans="1:11" x14ac:dyDescent="0.25">
      <c r="A364" s="219"/>
      <c r="B364" s="18" t="s">
        <v>56</v>
      </c>
      <c r="C364" s="54"/>
      <c r="D364" s="130"/>
      <c r="E364" s="28"/>
      <c r="F364" s="28">
        <f>ROUND((F363+F362+F361+F360+F359+F358+F357+F356+F355+F354+F353+F352+F351+F350+F349+F348+F347+F346+F345+F344+F343+F342+F340+F341+F338+F337+F336),0)</f>
        <v>38560363</v>
      </c>
    </row>
    <row r="365" spans="1:11" x14ac:dyDescent="0.25">
      <c r="A365" s="19"/>
      <c r="B365" s="19" t="s">
        <v>60</v>
      </c>
      <c r="C365" s="19"/>
      <c r="D365" s="19"/>
      <c r="E365" s="19"/>
      <c r="F365" s="29">
        <f>ROUND(F364/1.3495,0)</f>
        <v>28573815</v>
      </c>
    </row>
    <row r="366" spans="1:11" x14ac:dyDescent="0.25">
      <c r="A366" s="19"/>
      <c r="B366" s="19" t="s">
        <v>61</v>
      </c>
      <c r="C366" s="131">
        <v>0.24</v>
      </c>
      <c r="D366" s="19"/>
      <c r="E366" s="19"/>
      <c r="F366" s="29">
        <f>ROUND(F365*C366,0)</f>
        <v>6857716</v>
      </c>
    </row>
    <row r="367" spans="1:11" x14ac:dyDescent="0.25">
      <c r="A367" s="19"/>
      <c r="B367" s="19" t="s">
        <v>57</v>
      </c>
      <c r="C367" s="131">
        <v>0.05</v>
      </c>
      <c r="D367" s="19"/>
      <c r="E367" s="19"/>
      <c r="F367" s="29">
        <f>ROUND(F365*C367,0)</f>
        <v>1428691</v>
      </c>
    </row>
    <row r="368" spans="1:11" x14ac:dyDescent="0.25">
      <c r="A368" s="19"/>
      <c r="B368" s="19" t="s">
        <v>62</v>
      </c>
      <c r="C368" s="131">
        <v>0.05</v>
      </c>
      <c r="D368" s="19"/>
      <c r="E368" s="19"/>
      <c r="F368" s="29">
        <f>ROUND(F365*C368,0)</f>
        <v>1428691</v>
      </c>
    </row>
    <row r="369" spans="1:11" x14ac:dyDescent="0.25">
      <c r="A369" s="19"/>
      <c r="B369" s="132" t="s">
        <v>63</v>
      </c>
      <c r="C369" s="133">
        <v>0.19</v>
      </c>
      <c r="D369" s="120"/>
      <c r="E369" s="120"/>
      <c r="F369" s="35">
        <f>ROUND(F368*19%,0)</f>
        <v>271451</v>
      </c>
    </row>
    <row r="370" spans="1:11" x14ac:dyDescent="0.25">
      <c r="A370" s="19"/>
      <c r="B370" s="18" t="s">
        <v>56</v>
      </c>
      <c r="C370" s="19"/>
      <c r="D370" s="19"/>
      <c r="E370" s="19"/>
      <c r="F370" s="30">
        <f>SUM(F365:F369)</f>
        <v>38560364</v>
      </c>
    </row>
    <row r="372" spans="1:11" x14ac:dyDescent="0.25">
      <c r="A372" s="422" t="s">
        <v>299</v>
      </c>
      <c r="B372" s="422"/>
      <c r="C372" s="422"/>
      <c r="D372" s="422"/>
      <c r="E372" s="422"/>
      <c r="F372" s="422"/>
    </row>
    <row r="373" spans="1:11" x14ac:dyDescent="0.25">
      <c r="A373" s="219" t="s">
        <v>10</v>
      </c>
      <c r="B373" s="219" t="s">
        <v>0</v>
      </c>
      <c r="C373" s="219" t="s">
        <v>11</v>
      </c>
      <c r="D373" s="54" t="s">
        <v>13</v>
      </c>
      <c r="E373" s="54" t="s">
        <v>14</v>
      </c>
      <c r="F373" s="54" t="s">
        <v>15</v>
      </c>
    </row>
    <row r="374" spans="1:11" x14ac:dyDescent="0.25">
      <c r="A374" s="222">
        <v>1</v>
      </c>
      <c r="B374" s="18" t="s">
        <v>16</v>
      </c>
      <c r="C374" s="420"/>
      <c r="D374" s="420"/>
      <c r="E374" s="420"/>
      <c r="F374" s="20"/>
    </row>
    <row r="375" spans="1:11" ht="29.25" x14ac:dyDescent="0.25">
      <c r="A375" s="222">
        <f t="shared" ref="A375:A397" si="20">A374+1</f>
        <v>2</v>
      </c>
      <c r="B375" s="17" t="s">
        <v>17</v>
      </c>
      <c r="C375" s="222" t="s">
        <v>18</v>
      </c>
      <c r="D375" s="31">
        <v>96</v>
      </c>
      <c r="E375" s="58">
        <v>5230</v>
      </c>
      <c r="F375" s="249">
        <f t="shared" ref="F375:F397" si="21">ROUND(D375*E375,0)</f>
        <v>502080</v>
      </c>
    </row>
    <row r="376" spans="1:11" x14ac:dyDescent="0.25">
      <c r="A376" s="222">
        <f>A375+1</f>
        <v>3</v>
      </c>
      <c r="B376" s="17" t="s">
        <v>22</v>
      </c>
      <c r="C376" s="222" t="s">
        <v>120</v>
      </c>
      <c r="D376" s="31">
        <v>2</v>
      </c>
      <c r="E376" s="58">
        <v>155814</v>
      </c>
      <c r="F376" s="249">
        <f t="shared" si="21"/>
        <v>311628</v>
      </c>
      <c r="K376" s="80"/>
    </row>
    <row r="377" spans="1:11" x14ac:dyDescent="0.25">
      <c r="A377" s="222">
        <f t="shared" si="20"/>
        <v>4</v>
      </c>
      <c r="B377" s="18" t="s">
        <v>25</v>
      </c>
      <c r="C377" s="20"/>
      <c r="D377" s="20"/>
      <c r="E377" s="58"/>
      <c r="F377" s="249">
        <f t="shared" si="21"/>
        <v>0</v>
      </c>
    </row>
    <row r="378" spans="1:11" x14ac:dyDescent="0.25">
      <c r="A378" s="222">
        <f t="shared" si="20"/>
        <v>5</v>
      </c>
      <c r="B378" s="56" t="s">
        <v>26</v>
      </c>
      <c r="C378" s="222" t="s">
        <v>18</v>
      </c>
      <c r="D378" s="31">
        <f>96+96+90+90</f>
        <v>372</v>
      </c>
      <c r="E378" s="58">
        <v>7086</v>
      </c>
      <c r="F378" s="249">
        <f t="shared" si="21"/>
        <v>2635992</v>
      </c>
    </row>
    <row r="379" spans="1:11" ht="42.75" x14ac:dyDescent="0.25">
      <c r="A379" s="222">
        <f t="shared" si="20"/>
        <v>6</v>
      </c>
      <c r="B379" s="9" t="s">
        <v>27</v>
      </c>
      <c r="C379" s="222" t="s">
        <v>64</v>
      </c>
      <c r="D379" s="31">
        <v>12</v>
      </c>
      <c r="E379" s="58">
        <v>77371</v>
      </c>
      <c r="F379" s="249">
        <f t="shared" si="21"/>
        <v>928452</v>
      </c>
    </row>
    <row r="380" spans="1:11" x14ac:dyDescent="0.25">
      <c r="A380" s="222">
        <f t="shared" si="20"/>
        <v>7</v>
      </c>
      <c r="B380" s="18" t="s">
        <v>28</v>
      </c>
      <c r="C380" s="20"/>
      <c r="D380" s="20"/>
      <c r="E380" s="58"/>
      <c r="F380" s="249">
        <f t="shared" si="21"/>
        <v>0</v>
      </c>
    </row>
    <row r="381" spans="1:11" x14ac:dyDescent="0.25">
      <c r="A381" s="222">
        <f t="shared" si="20"/>
        <v>8</v>
      </c>
      <c r="B381" s="17" t="s">
        <v>29</v>
      </c>
      <c r="C381" s="222" t="s">
        <v>64</v>
      </c>
      <c r="D381" s="31">
        <v>58</v>
      </c>
      <c r="E381" s="58">
        <v>26395</v>
      </c>
      <c r="F381" s="249">
        <f t="shared" si="21"/>
        <v>1530910</v>
      </c>
    </row>
    <row r="382" spans="1:11" ht="29.25" x14ac:dyDescent="0.25">
      <c r="A382" s="222">
        <f t="shared" si="20"/>
        <v>9</v>
      </c>
      <c r="B382" s="17" t="s">
        <v>279</v>
      </c>
      <c r="C382" s="222" t="s">
        <v>64</v>
      </c>
      <c r="D382" s="31">
        <v>28</v>
      </c>
      <c r="E382" s="58">
        <v>32848</v>
      </c>
      <c r="F382" s="249">
        <f t="shared" si="21"/>
        <v>919744</v>
      </c>
    </row>
    <row r="383" spans="1:11" x14ac:dyDescent="0.25">
      <c r="A383" s="222">
        <f t="shared" si="20"/>
        <v>10</v>
      </c>
      <c r="B383" s="18" t="s">
        <v>80</v>
      </c>
      <c r="C383" s="20"/>
      <c r="D383" s="20"/>
      <c r="E383" s="243"/>
      <c r="F383" s="249">
        <f t="shared" si="21"/>
        <v>0</v>
      </c>
    </row>
    <row r="384" spans="1:11" x14ac:dyDescent="0.25">
      <c r="A384" s="222">
        <f t="shared" si="20"/>
        <v>11</v>
      </c>
      <c r="B384" s="17" t="s">
        <v>284</v>
      </c>
      <c r="C384" s="222" t="s">
        <v>18</v>
      </c>
      <c r="D384" s="31">
        <v>96</v>
      </c>
      <c r="E384" s="58">
        <f>1981*3</f>
        <v>5943</v>
      </c>
      <c r="F384" s="249">
        <f t="shared" si="21"/>
        <v>570528</v>
      </c>
    </row>
    <row r="385" spans="1:11" ht="42.75" x14ac:dyDescent="0.25">
      <c r="A385" s="222">
        <f t="shared" si="20"/>
        <v>12</v>
      </c>
      <c r="B385" s="9" t="s">
        <v>285</v>
      </c>
      <c r="C385" s="222" t="s">
        <v>37</v>
      </c>
      <c r="D385" s="31">
        <v>10</v>
      </c>
      <c r="E385" s="58">
        <v>42039</v>
      </c>
      <c r="F385" s="249">
        <f t="shared" si="21"/>
        <v>420390</v>
      </c>
    </row>
    <row r="386" spans="1:11" x14ac:dyDescent="0.25">
      <c r="A386" s="222">
        <f t="shared" si="20"/>
        <v>13</v>
      </c>
      <c r="B386" s="57" t="s">
        <v>286</v>
      </c>
      <c r="C386" s="222" t="s">
        <v>37</v>
      </c>
      <c r="D386" s="31">
        <v>2</v>
      </c>
      <c r="E386" s="58">
        <v>210191</v>
      </c>
      <c r="F386" s="249">
        <f t="shared" si="21"/>
        <v>420382</v>
      </c>
    </row>
    <row r="387" spans="1:11" ht="57.75" x14ac:dyDescent="0.25">
      <c r="A387" s="222">
        <f t="shared" si="20"/>
        <v>14</v>
      </c>
      <c r="B387" s="17" t="s">
        <v>300</v>
      </c>
      <c r="C387" s="222" t="s">
        <v>37</v>
      </c>
      <c r="D387" s="31">
        <v>2</v>
      </c>
      <c r="E387" s="58">
        <v>345600</v>
      </c>
      <c r="F387" s="249">
        <f t="shared" si="21"/>
        <v>691200</v>
      </c>
    </row>
    <row r="388" spans="1:11" x14ac:dyDescent="0.25">
      <c r="A388" s="222">
        <f t="shared" si="20"/>
        <v>15</v>
      </c>
      <c r="B388" s="17" t="s">
        <v>288</v>
      </c>
      <c r="C388" s="222" t="s">
        <v>120</v>
      </c>
      <c r="D388" s="31">
        <v>4</v>
      </c>
      <c r="E388" s="58">
        <v>90583</v>
      </c>
      <c r="F388" s="249">
        <f t="shared" si="21"/>
        <v>362332</v>
      </c>
    </row>
    <row r="389" spans="1:11" x14ac:dyDescent="0.25">
      <c r="A389" s="222">
        <f t="shared" si="20"/>
        <v>16</v>
      </c>
      <c r="B389" s="18" t="s">
        <v>43</v>
      </c>
      <c r="C389" s="20"/>
      <c r="D389" s="20"/>
      <c r="E389" s="58"/>
      <c r="F389" s="249">
        <f t="shared" si="21"/>
        <v>0</v>
      </c>
    </row>
    <row r="390" spans="1:11" x14ac:dyDescent="0.25">
      <c r="A390" s="222">
        <f t="shared" si="20"/>
        <v>17</v>
      </c>
      <c r="B390" s="9" t="s">
        <v>44</v>
      </c>
      <c r="C390" s="222" t="s">
        <v>64</v>
      </c>
      <c r="D390" s="31">
        <v>9</v>
      </c>
      <c r="E390" s="58">
        <v>121019</v>
      </c>
      <c r="F390" s="249">
        <f t="shared" si="21"/>
        <v>1089171</v>
      </c>
    </row>
    <row r="391" spans="1:11" ht="29.25" x14ac:dyDescent="0.25">
      <c r="A391" s="222">
        <f t="shared" si="20"/>
        <v>18</v>
      </c>
      <c r="B391" s="17" t="s">
        <v>45</v>
      </c>
      <c r="C391" s="222" t="s">
        <v>64</v>
      </c>
      <c r="D391" s="31">
        <v>30</v>
      </c>
      <c r="E391" s="58">
        <v>22197</v>
      </c>
      <c r="F391" s="249">
        <f t="shared" si="21"/>
        <v>665910</v>
      </c>
    </row>
    <row r="392" spans="1:11" x14ac:dyDescent="0.25">
      <c r="A392" s="222">
        <f t="shared" si="20"/>
        <v>19</v>
      </c>
      <c r="B392" s="55" t="s">
        <v>46</v>
      </c>
      <c r="C392" s="222" t="s">
        <v>64</v>
      </c>
      <c r="D392" s="31">
        <v>1</v>
      </c>
      <c r="E392" s="58">
        <v>145281</v>
      </c>
      <c r="F392" s="249">
        <f t="shared" si="21"/>
        <v>145281</v>
      </c>
    </row>
    <row r="393" spans="1:11" x14ac:dyDescent="0.25">
      <c r="A393" s="222">
        <f t="shared" si="20"/>
        <v>20</v>
      </c>
      <c r="B393" s="18" t="s">
        <v>48</v>
      </c>
      <c r="C393" s="20"/>
      <c r="D393" s="20"/>
      <c r="E393" s="58"/>
      <c r="F393" s="249">
        <f t="shared" si="21"/>
        <v>0</v>
      </c>
    </row>
    <row r="394" spans="1:11" ht="29.25" x14ac:dyDescent="0.25">
      <c r="A394" s="222">
        <f t="shared" si="20"/>
        <v>21</v>
      </c>
      <c r="B394" s="17" t="s">
        <v>49</v>
      </c>
      <c r="C394" s="222" t="s">
        <v>64</v>
      </c>
      <c r="D394" s="31">
        <v>1</v>
      </c>
      <c r="E394" s="58">
        <v>607296</v>
      </c>
      <c r="F394" s="249">
        <f t="shared" si="21"/>
        <v>607296</v>
      </c>
    </row>
    <row r="395" spans="1:11" ht="29.25" x14ac:dyDescent="0.25">
      <c r="A395" s="222">
        <f t="shared" si="20"/>
        <v>22</v>
      </c>
      <c r="B395" s="17" t="s">
        <v>50</v>
      </c>
      <c r="C395" s="222" t="s">
        <v>64</v>
      </c>
      <c r="D395" s="31">
        <v>1</v>
      </c>
      <c r="E395" s="58">
        <v>824735</v>
      </c>
      <c r="F395" s="249">
        <f t="shared" si="21"/>
        <v>824735</v>
      </c>
    </row>
    <row r="396" spans="1:11" x14ac:dyDescent="0.25">
      <c r="A396" s="222">
        <f t="shared" si="20"/>
        <v>23</v>
      </c>
      <c r="B396" s="18" t="s">
        <v>51</v>
      </c>
      <c r="C396" s="20"/>
      <c r="D396" s="20"/>
      <c r="E396" s="58"/>
      <c r="F396" s="249">
        <f t="shared" si="21"/>
        <v>0</v>
      </c>
    </row>
    <row r="397" spans="1:11" x14ac:dyDescent="0.25">
      <c r="A397" s="222">
        <f t="shared" si="20"/>
        <v>24</v>
      </c>
      <c r="B397" s="17" t="s">
        <v>52</v>
      </c>
      <c r="C397" s="222" t="s">
        <v>53</v>
      </c>
      <c r="D397" s="31">
        <v>18</v>
      </c>
      <c r="E397" s="58">
        <v>5922</v>
      </c>
      <c r="F397" s="249">
        <f t="shared" si="21"/>
        <v>106596</v>
      </c>
      <c r="K397" s="80"/>
    </row>
    <row r="398" spans="1:11" x14ac:dyDescent="0.25">
      <c r="A398" s="219"/>
      <c r="B398" s="18" t="s">
        <v>56</v>
      </c>
      <c r="C398" s="54"/>
      <c r="D398" s="130"/>
      <c r="E398" s="28"/>
      <c r="F398" s="28">
        <f>ROUND((F397+F396+F395+F394+F393+F392+F391+F390+F389+F388+F387+F386+F385+F384+F383+F382+F381+F380+F379+F378+F377+F376+F374+F375),0)</f>
        <v>12732627</v>
      </c>
    </row>
    <row r="399" spans="1:11" x14ac:dyDescent="0.25">
      <c r="A399" s="19"/>
      <c r="B399" s="19" t="s">
        <v>60</v>
      </c>
      <c r="C399" s="19"/>
      <c r="D399" s="19"/>
      <c r="E399" s="19"/>
      <c r="F399" s="29">
        <f>ROUND(F398/1.3495,0)</f>
        <v>9435070</v>
      </c>
    </row>
    <row r="400" spans="1:11" x14ac:dyDescent="0.25">
      <c r="A400" s="19"/>
      <c r="B400" s="19" t="s">
        <v>61</v>
      </c>
      <c r="C400" s="131">
        <v>0.24</v>
      </c>
      <c r="D400" s="19"/>
      <c r="E400" s="19"/>
      <c r="F400" s="29">
        <f>ROUND(F399*C400,0)</f>
        <v>2264417</v>
      </c>
    </row>
    <row r="401" spans="1:6" x14ac:dyDescent="0.25">
      <c r="A401" s="19"/>
      <c r="B401" s="19" t="s">
        <v>57</v>
      </c>
      <c r="C401" s="131">
        <v>0.05</v>
      </c>
      <c r="D401" s="19"/>
      <c r="E401" s="19"/>
      <c r="F401" s="29">
        <f>ROUND(F399*C401,0)</f>
        <v>471754</v>
      </c>
    </row>
    <row r="402" spans="1:6" x14ac:dyDescent="0.25">
      <c r="A402" s="19"/>
      <c r="B402" s="19" t="s">
        <v>62</v>
      </c>
      <c r="C402" s="131">
        <v>0.05</v>
      </c>
      <c r="D402" s="19"/>
      <c r="E402" s="19"/>
      <c r="F402" s="29">
        <f>ROUND(F399*C402,0)</f>
        <v>471754</v>
      </c>
    </row>
    <row r="403" spans="1:6" x14ac:dyDescent="0.25">
      <c r="A403" s="19"/>
      <c r="B403" s="132" t="s">
        <v>63</v>
      </c>
      <c r="C403" s="133">
        <v>0.19</v>
      </c>
      <c r="D403" s="120"/>
      <c r="E403" s="120"/>
      <c r="F403" s="35">
        <f>ROUND(F402*19%,0)</f>
        <v>89633</v>
      </c>
    </row>
    <row r="404" spans="1:6" x14ac:dyDescent="0.25">
      <c r="A404" s="19"/>
      <c r="B404" s="18" t="s">
        <v>56</v>
      </c>
      <c r="C404" s="19"/>
      <c r="D404" s="19"/>
      <c r="E404" s="19"/>
      <c r="F404" s="30">
        <f>SUM(F399:F403)</f>
        <v>12732628</v>
      </c>
    </row>
    <row r="406" spans="1:6" x14ac:dyDescent="0.25">
      <c r="A406" s="422" t="s">
        <v>301</v>
      </c>
      <c r="B406" s="422"/>
      <c r="C406" s="422"/>
      <c r="D406" s="422"/>
      <c r="E406" s="422"/>
      <c r="F406" s="422"/>
    </row>
    <row r="407" spans="1:6" x14ac:dyDescent="0.25">
      <c r="A407" s="420" t="s">
        <v>10</v>
      </c>
      <c r="B407" s="420" t="s">
        <v>0</v>
      </c>
      <c r="C407" s="420" t="s">
        <v>11</v>
      </c>
      <c r="D407" s="420" t="s">
        <v>12</v>
      </c>
      <c r="E407" s="420"/>
      <c r="F407" s="420"/>
    </row>
    <row r="408" spans="1:6" x14ac:dyDescent="0.25">
      <c r="A408" s="420"/>
      <c r="B408" s="420"/>
      <c r="C408" s="420"/>
      <c r="D408" s="54" t="s">
        <v>13</v>
      </c>
      <c r="E408" s="54" t="s">
        <v>14</v>
      </c>
      <c r="F408" s="54" t="s">
        <v>15</v>
      </c>
    </row>
    <row r="409" spans="1:6" x14ac:dyDescent="0.25">
      <c r="A409" s="222">
        <f t="shared" ref="A409:A437" si="22">A408+1</f>
        <v>1</v>
      </c>
      <c r="B409" s="18" t="s">
        <v>16</v>
      </c>
      <c r="C409" s="420"/>
      <c r="D409" s="420"/>
      <c r="E409" s="420"/>
      <c r="F409" s="20"/>
    </row>
    <row r="410" spans="1:6" ht="29.25" x14ac:dyDescent="0.25">
      <c r="A410" s="222">
        <f t="shared" si="22"/>
        <v>2</v>
      </c>
      <c r="B410" s="17" t="s">
        <v>17</v>
      </c>
      <c r="C410" s="222" t="s">
        <v>18</v>
      </c>
      <c r="D410" s="31">
        <v>318</v>
      </c>
      <c r="E410" s="59">
        <v>5214</v>
      </c>
      <c r="F410" s="249">
        <f t="shared" ref="F410:F437" si="23">ROUND(D410*E410,0)</f>
        <v>1658052</v>
      </c>
    </row>
    <row r="411" spans="1:6" ht="43.5" x14ac:dyDescent="0.25">
      <c r="A411" s="222">
        <f>A410+1</f>
        <v>3</v>
      </c>
      <c r="B411" s="17" t="s">
        <v>21</v>
      </c>
      <c r="C411" s="222" t="s">
        <v>18</v>
      </c>
      <c r="D411" s="31">
        <v>648</v>
      </c>
      <c r="E411" s="59">
        <v>13608</v>
      </c>
      <c r="F411" s="249">
        <f t="shared" si="23"/>
        <v>8817984</v>
      </c>
    </row>
    <row r="412" spans="1:6" x14ac:dyDescent="0.25">
      <c r="A412" s="222">
        <f t="shared" si="22"/>
        <v>4</v>
      </c>
      <c r="B412" s="17" t="s">
        <v>22</v>
      </c>
      <c r="C412" s="222" t="s">
        <v>23</v>
      </c>
      <c r="D412" s="31">
        <v>6</v>
      </c>
      <c r="E412" s="59">
        <v>155349</v>
      </c>
      <c r="F412" s="249">
        <f t="shared" si="23"/>
        <v>932094</v>
      </c>
    </row>
    <row r="413" spans="1:6" x14ac:dyDescent="0.25">
      <c r="A413" s="222">
        <f t="shared" si="22"/>
        <v>5</v>
      </c>
      <c r="B413" s="18" t="s">
        <v>25</v>
      </c>
      <c r="C413" s="20"/>
      <c r="D413" s="20"/>
      <c r="E413" s="59"/>
      <c r="F413" s="249">
        <f t="shared" si="23"/>
        <v>0</v>
      </c>
    </row>
    <row r="414" spans="1:6" x14ac:dyDescent="0.25">
      <c r="A414" s="222">
        <f t="shared" si="22"/>
        <v>6</v>
      </c>
      <c r="B414" s="297" t="s">
        <v>26</v>
      </c>
      <c r="C414" s="222" t="s">
        <v>18</v>
      </c>
      <c r="D414" s="31">
        <v>1340</v>
      </c>
      <c r="E414" s="59">
        <v>7630</v>
      </c>
      <c r="F414" s="249">
        <f t="shared" si="23"/>
        <v>10224200</v>
      </c>
    </row>
    <row r="415" spans="1:6" ht="42.75" x14ac:dyDescent="0.25">
      <c r="A415" s="222">
        <f t="shared" si="22"/>
        <v>7</v>
      </c>
      <c r="B415" s="9" t="s">
        <v>27</v>
      </c>
      <c r="C415" s="222" t="s">
        <v>64</v>
      </c>
      <c r="D415" s="31">
        <v>96</v>
      </c>
      <c r="E415" s="59">
        <v>83312</v>
      </c>
      <c r="F415" s="249">
        <f t="shared" si="23"/>
        <v>7997952</v>
      </c>
    </row>
    <row r="416" spans="1:6" x14ac:dyDescent="0.25">
      <c r="A416" s="222">
        <f t="shared" si="22"/>
        <v>8</v>
      </c>
      <c r="B416" s="18" t="s">
        <v>28</v>
      </c>
      <c r="C416" s="20"/>
      <c r="D416" s="20"/>
      <c r="E416" s="242"/>
      <c r="F416" s="249">
        <f t="shared" si="23"/>
        <v>0</v>
      </c>
    </row>
    <row r="417" spans="1:6" x14ac:dyDescent="0.25">
      <c r="A417" s="222">
        <f t="shared" si="22"/>
        <v>9</v>
      </c>
      <c r="B417" s="17" t="s">
        <v>29</v>
      </c>
      <c r="C417" s="222" t="s">
        <v>64</v>
      </c>
      <c r="D417" s="31">
        <v>960</v>
      </c>
      <c r="E417" s="59">
        <v>26317</v>
      </c>
      <c r="F417" s="249">
        <f t="shared" si="23"/>
        <v>25264320</v>
      </c>
    </row>
    <row r="418" spans="1:6" x14ac:dyDescent="0.25">
      <c r="A418" s="222">
        <f t="shared" si="22"/>
        <v>10</v>
      </c>
      <c r="B418" s="17" t="s">
        <v>31</v>
      </c>
      <c r="C418" s="222" t="s">
        <v>18</v>
      </c>
      <c r="D418" s="31">
        <v>40</v>
      </c>
      <c r="E418" s="59">
        <v>30682</v>
      </c>
      <c r="F418" s="249">
        <f t="shared" si="23"/>
        <v>1227280</v>
      </c>
    </row>
    <row r="419" spans="1:6" ht="29.25" x14ac:dyDescent="0.25">
      <c r="A419" s="222">
        <f t="shared" si="22"/>
        <v>11</v>
      </c>
      <c r="B419" s="17" t="s">
        <v>32</v>
      </c>
      <c r="C419" s="222" t="s">
        <v>64</v>
      </c>
      <c r="D419" s="31">
        <v>323</v>
      </c>
      <c r="E419" s="59">
        <v>32749</v>
      </c>
      <c r="F419" s="249">
        <f t="shared" si="23"/>
        <v>10577927</v>
      </c>
    </row>
    <row r="420" spans="1:6" x14ac:dyDescent="0.25">
      <c r="A420" s="222">
        <f t="shared" si="22"/>
        <v>12</v>
      </c>
      <c r="B420" s="18" t="s">
        <v>33</v>
      </c>
      <c r="C420" s="20"/>
      <c r="D420" s="20"/>
      <c r="E420" s="242"/>
      <c r="F420" s="249">
        <f t="shared" si="23"/>
        <v>0</v>
      </c>
    </row>
    <row r="421" spans="1:6" ht="29.25" x14ac:dyDescent="0.25">
      <c r="A421" s="222">
        <f t="shared" si="22"/>
        <v>13</v>
      </c>
      <c r="B421" s="17" t="s">
        <v>66</v>
      </c>
      <c r="C421" s="286" t="s">
        <v>18</v>
      </c>
      <c r="D421" s="61">
        <v>318</v>
      </c>
      <c r="E421" s="242">
        <v>23781</v>
      </c>
      <c r="F421" s="249">
        <f t="shared" si="23"/>
        <v>7562358</v>
      </c>
    </row>
    <row r="422" spans="1:6" ht="57" x14ac:dyDescent="0.25">
      <c r="A422" s="222">
        <f t="shared" si="22"/>
        <v>14</v>
      </c>
      <c r="B422" s="57" t="s">
        <v>35</v>
      </c>
      <c r="C422" s="222" t="s">
        <v>18</v>
      </c>
      <c r="D422" s="31">
        <v>4</v>
      </c>
      <c r="E422" s="59">
        <v>637411</v>
      </c>
      <c r="F422" s="249">
        <f t="shared" si="23"/>
        <v>2549644</v>
      </c>
    </row>
    <row r="423" spans="1:6" ht="57.75" x14ac:dyDescent="0.25">
      <c r="A423" s="222">
        <f t="shared" si="22"/>
        <v>15</v>
      </c>
      <c r="B423" s="17" t="s">
        <v>302</v>
      </c>
      <c r="C423" s="222" t="s">
        <v>37</v>
      </c>
      <c r="D423" s="31">
        <v>9</v>
      </c>
      <c r="E423" s="59">
        <v>777600</v>
      </c>
      <c r="F423" s="249">
        <f t="shared" si="23"/>
        <v>6998400</v>
      </c>
    </row>
    <row r="424" spans="1:6" x14ac:dyDescent="0.25">
      <c r="A424" s="222">
        <f t="shared" si="22"/>
        <v>16</v>
      </c>
      <c r="B424" s="55" t="s">
        <v>38</v>
      </c>
      <c r="C424" s="222" t="s">
        <v>37</v>
      </c>
      <c r="D424" s="31">
        <v>9</v>
      </c>
      <c r="E424" s="59">
        <v>540447</v>
      </c>
      <c r="F424" s="249">
        <f t="shared" si="23"/>
        <v>4864023</v>
      </c>
    </row>
    <row r="425" spans="1:6" ht="43.5" x14ac:dyDescent="0.25">
      <c r="A425" s="222">
        <f t="shared" si="22"/>
        <v>17</v>
      </c>
      <c r="B425" s="17" t="s">
        <v>39</v>
      </c>
      <c r="C425" s="222" t="s">
        <v>18</v>
      </c>
      <c r="D425" s="31">
        <v>354</v>
      </c>
      <c r="E425" s="59">
        <v>13802</v>
      </c>
      <c r="F425" s="249">
        <f t="shared" si="23"/>
        <v>4885908</v>
      </c>
    </row>
    <row r="426" spans="1:6" ht="43.5" x14ac:dyDescent="0.25">
      <c r="A426" s="222">
        <f t="shared" si="22"/>
        <v>18</v>
      </c>
      <c r="B426" s="17" t="s">
        <v>40</v>
      </c>
      <c r="C426" s="222" t="s">
        <v>23</v>
      </c>
      <c r="D426" s="31">
        <v>88</v>
      </c>
      <c r="E426" s="59">
        <v>399818</v>
      </c>
      <c r="F426" s="249">
        <f t="shared" si="23"/>
        <v>35183984</v>
      </c>
    </row>
    <row r="427" spans="1:6" x14ac:dyDescent="0.25">
      <c r="A427" s="222">
        <f t="shared" si="22"/>
        <v>19</v>
      </c>
      <c r="B427" s="17" t="s">
        <v>67</v>
      </c>
      <c r="C427" s="222" t="s">
        <v>23</v>
      </c>
      <c r="D427" s="31">
        <v>88</v>
      </c>
      <c r="E427" s="59">
        <v>43482</v>
      </c>
      <c r="F427" s="249">
        <f t="shared" si="23"/>
        <v>3826416</v>
      </c>
    </row>
    <row r="428" spans="1:6" x14ac:dyDescent="0.25">
      <c r="A428" s="222">
        <f t="shared" si="22"/>
        <v>20</v>
      </c>
      <c r="B428" s="55" t="s">
        <v>42</v>
      </c>
      <c r="C428" s="222" t="s">
        <v>23</v>
      </c>
      <c r="D428" s="31">
        <v>16</v>
      </c>
      <c r="E428" s="59">
        <v>90312</v>
      </c>
      <c r="F428" s="249">
        <f t="shared" si="23"/>
        <v>1444992</v>
      </c>
    </row>
    <row r="429" spans="1:6" x14ac:dyDescent="0.25">
      <c r="A429" s="222">
        <f t="shared" si="22"/>
        <v>21</v>
      </c>
      <c r="B429" s="18" t="s">
        <v>43</v>
      </c>
      <c r="C429" s="20"/>
      <c r="D429" s="20"/>
      <c r="E429" s="59"/>
      <c r="F429" s="249">
        <f t="shared" si="23"/>
        <v>0</v>
      </c>
    </row>
    <row r="430" spans="1:6" x14ac:dyDescent="0.25">
      <c r="A430" s="222">
        <f t="shared" si="22"/>
        <v>22</v>
      </c>
      <c r="B430" s="55" t="s">
        <v>44</v>
      </c>
      <c r="C430" s="222" t="s">
        <v>64</v>
      </c>
      <c r="D430" s="31">
        <v>64</v>
      </c>
      <c r="E430" s="59">
        <v>120657</v>
      </c>
      <c r="F430" s="249">
        <f t="shared" si="23"/>
        <v>7722048</v>
      </c>
    </row>
    <row r="431" spans="1:6" ht="29.25" x14ac:dyDescent="0.25">
      <c r="A431" s="222">
        <f t="shared" si="22"/>
        <v>23</v>
      </c>
      <c r="B431" s="17" t="s">
        <v>45</v>
      </c>
      <c r="C431" s="222" t="s">
        <v>64</v>
      </c>
      <c r="D431" s="31">
        <v>730</v>
      </c>
      <c r="E431" s="59">
        <v>22131</v>
      </c>
      <c r="F431" s="249">
        <f t="shared" si="23"/>
        <v>16155630</v>
      </c>
    </row>
    <row r="432" spans="1:6" ht="29.25" x14ac:dyDescent="0.25">
      <c r="A432" s="222">
        <f t="shared" si="22"/>
        <v>24</v>
      </c>
      <c r="B432" s="17" t="s">
        <v>152</v>
      </c>
      <c r="C432" s="222" t="s">
        <v>64</v>
      </c>
      <c r="D432" s="31">
        <v>133</v>
      </c>
      <c r="E432" s="59">
        <v>144847</v>
      </c>
      <c r="F432" s="249">
        <f t="shared" si="23"/>
        <v>19264651</v>
      </c>
    </row>
    <row r="433" spans="1:11" x14ac:dyDescent="0.25">
      <c r="A433" s="222">
        <f t="shared" si="22"/>
        <v>25</v>
      </c>
      <c r="B433" s="18" t="s">
        <v>48</v>
      </c>
      <c r="C433" s="20"/>
      <c r="D433" s="20"/>
      <c r="E433" s="242"/>
      <c r="F433" s="249">
        <f t="shared" si="23"/>
        <v>0</v>
      </c>
    </row>
    <row r="434" spans="1:11" ht="29.25" x14ac:dyDescent="0.25">
      <c r="A434" s="222">
        <f t="shared" si="22"/>
        <v>26</v>
      </c>
      <c r="B434" s="17" t="s">
        <v>49</v>
      </c>
      <c r="C434" s="222" t="s">
        <v>64</v>
      </c>
      <c r="D434" s="31">
        <v>4</v>
      </c>
      <c r="E434" s="59">
        <v>605480</v>
      </c>
      <c r="F434" s="249">
        <f t="shared" si="23"/>
        <v>2421920</v>
      </c>
    </row>
    <row r="435" spans="1:11" ht="29.25" x14ac:dyDescent="0.25">
      <c r="A435" s="222">
        <f t="shared" si="22"/>
        <v>27</v>
      </c>
      <c r="B435" s="17" t="s">
        <v>50</v>
      </c>
      <c r="C435" s="222" t="s">
        <v>64</v>
      </c>
      <c r="D435" s="31">
        <v>96</v>
      </c>
      <c r="E435" s="59">
        <v>822268</v>
      </c>
      <c r="F435" s="249">
        <f t="shared" si="23"/>
        <v>78937728</v>
      </c>
    </row>
    <row r="436" spans="1:11" x14ac:dyDescent="0.25">
      <c r="A436" s="222">
        <f t="shared" si="22"/>
        <v>28</v>
      </c>
      <c r="B436" s="18" t="s">
        <v>51</v>
      </c>
      <c r="C436" s="20"/>
      <c r="D436" s="20"/>
      <c r="E436" s="242"/>
      <c r="F436" s="249">
        <f t="shared" si="23"/>
        <v>0</v>
      </c>
    </row>
    <row r="437" spans="1:11" x14ac:dyDescent="0.25">
      <c r="A437" s="222">
        <f t="shared" si="22"/>
        <v>29</v>
      </c>
      <c r="B437" s="17" t="s">
        <v>52</v>
      </c>
      <c r="C437" s="222" t="s">
        <v>53</v>
      </c>
      <c r="D437" s="31">
        <f>18*9</f>
        <v>162</v>
      </c>
      <c r="E437" s="59">
        <v>5922</v>
      </c>
      <c r="F437" s="249">
        <f t="shared" si="23"/>
        <v>959364</v>
      </c>
      <c r="K437" s="80"/>
    </row>
    <row r="438" spans="1:11" x14ac:dyDescent="0.25">
      <c r="A438" s="219"/>
      <c r="B438" s="18" t="s">
        <v>56</v>
      </c>
      <c r="C438" s="54"/>
      <c r="D438" s="130"/>
      <c r="E438" s="28"/>
      <c r="F438" s="28">
        <f>ROUND((F437+F436+F435+F434+F433+F432+F431+F430+F429+F428+F427+F426+F425+F424+F423+F422+F421+F420+F419+F418+F417+F416+F414+F415+F413+F412+F411+F410),0)</f>
        <v>259476875</v>
      </c>
    </row>
    <row r="439" spans="1:11" x14ac:dyDescent="0.25">
      <c r="A439" s="19"/>
      <c r="B439" s="19" t="s">
        <v>60</v>
      </c>
      <c r="C439" s="19"/>
      <c r="D439" s="19"/>
      <c r="E439" s="19"/>
      <c r="F439" s="29">
        <f>ROUND(F438/1.3495,0)</f>
        <v>192276306</v>
      </c>
    </row>
    <row r="440" spans="1:11" x14ac:dyDescent="0.25">
      <c r="A440" s="19"/>
      <c r="B440" s="19" t="s">
        <v>61</v>
      </c>
      <c r="C440" s="131">
        <v>0.24</v>
      </c>
      <c r="D440" s="19"/>
      <c r="E440" s="19"/>
      <c r="F440" s="29">
        <f>ROUND(F439*C440,0)</f>
        <v>46146313</v>
      </c>
    </row>
    <row r="441" spans="1:11" x14ac:dyDescent="0.25">
      <c r="A441" s="19"/>
      <c r="B441" s="19" t="s">
        <v>57</v>
      </c>
      <c r="C441" s="131">
        <v>0.05</v>
      </c>
      <c r="D441" s="19"/>
      <c r="E441" s="19"/>
      <c r="F441" s="29">
        <f>ROUND(F439*C441,0)</f>
        <v>9613815</v>
      </c>
    </row>
    <row r="442" spans="1:11" x14ac:dyDescent="0.25">
      <c r="A442" s="19"/>
      <c r="B442" s="19" t="s">
        <v>62</v>
      </c>
      <c r="C442" s="131">
        <v>0.05</v>
      </c>
      <c r="D442" s="19"/>
      <c r="E442" s="19"/>
      <c r="F442" s="29">
        <f>ROUND(F439*C442,0)</f>
        <v>9613815</v>
      </c>
    </row>
    <row r="443" spans="1:11" x14ac:dyDescent="0.25">
      <c r="A443" s="19"/>
      <c r="B443" s="132" t="s">
        <v>63</v>
      </c>
      <c r="C443" s="133">
        <v>0.19</v>
      </c>
      <c r="D443" s="120"/>
      <c r="E443" s="120"/>
      <c r="F443" s="35">
        <f>ROUND(F442*19%,0)</f>
        <v>1826625</v>
      </c>
    </row>
    <row r="444" spans="1:11" x14ac:dyDescent="0.25">
      <c r="A444" s="19"/>
      <c r="B444" s="18" t="s">
        <v>56</v>
      </c>
      <c r="C444" s="19"/>
      <c r="D444" s="19"/>
      <c r="E444" s="19"/>
      <c r="F444" s="30">
        <f>SUM(F439:F443)</f>
        <v>259476874</v>
      </c>
    </row>
    <row r="446" spans="1:11" x14ac:dyDescent="0.25">
      <c r="A446" s="422" t="s">
        <v>303</v>
      </c>
      <c r="B446" s="422"/>
      <c r="C446" s="422"/>
      <c r="D446" s="422"/>
      <c r="E446" s="422"/>
      <c r="F446" s="422"/>
    </row>
    <row r="447" spans="1:11" x14ac:dyDescent="0.25">
      <c r="A447" s="219" t="s">
        <v>10</v>
      </c>
      <c r="B447" s="219" t="s">
        <v>0</v>
      </c>
      <c r="C447" s="219" t="s">
        <v>11</v>
      </c>
      <c r="D447" s="54" t="s">
        <v>13</v>
      </c>
      <c r="E447" s="54" t="s">
        <v>14</v>
      </c>
      <c r="F447" s="54" t="s">
        <v>15</v>
      </c>
    </row>
    <row r="448" spans="1:11" x14ac:dyDescent="0.25">
      <c r="A448" s="222">
        <v>1</v>
      </c>
      <c r="B448" s="18" t="s">
        <v>16</v>
      </c>
      <c r="C448" s="420"/>
      <c r="D448" s="420"/>
      <c r="E448" s="420"/>
      <c r="F448" s="20"/>
    </row>
    <row r="449" spans="1:6" ht="29.25" x14ac:dyDescent="0.25">
      <c r="A449" s="222">
        <f t="shared" ref="A449:A472" si="24">A448+1</f>
        <v>2</v>
      </c>
      <c r="B449" s="17" t="s">
        <v>17</v>
      </c>
      <c r="C449" s="222" t="s">
        <v>18</v>
      </c>
      <c r="D449" s="31">
        <v>96</v>
      </c>
      <c r="E449" s="58">
        <v>5230</v>
      </c>
      <c r="F449" s="249">
        <f t="shared" ref="F449:F472" si="25">ROUND(D449*E449,0)</f>
        <v>502080</v>
      </c>
    </row>
    <row r="450" spans="1:6" ht="42.75" x14ac:dyDescent="0.25">
      <c r="A450" s="222">
        <f t="shared" si="24"/>
        <v>3</v>
      </c>
      <c r="B450" s="9" t="s">
        <v>21</v>
      </c>
      <c r="C450" s="222" t="s">
        <v>18</v>
      </c>
      <c r="D450" s="31">
        <v>204</v>
      </c>
      <c r="E450" s="59">
        <v>13608</v>
      </c>
      <c r="F450" s="249">
        <f t="shared" si="25"/>
        <v>2776032</v>
      </c>
    </row>
    <row r="451" spans="1:6" x14ac:dyDescent="0.25">
      <c r="A451" s="222">
        <f t="shared" si="24"/>
        <v>4</v>
      </c>
      <c r="B451" s="17" t="s">
        <v>22</v>
      </c>
      <c r="C451" s="222" t="s">
        <v>120</v>
      </c>
      <c r="D451" s="31">
        <v>2</v>
      </c>
      <c r="E451" s="58">
        <v>155814</v>
      </c>
      <c r="F451" s="249">
        <f t="shared" si="25"/>
        <v>311628</v>
      </c>
    </row>
    <row r="452" spans="1:6" x14ac:dyDescent="0.25">
      <c r="A452" s="222">
        <f t="shared" si="24"/>
        <v>5</v>
      </c>
      <c r="B452" s="18" t="s">
        <v>25</v>
      </c>
      <c r="C452" s="20"/>
      <c r="D452" s="20"/>
      <c r="E452" s="58"/>
      <c r="F452" s="249">
        <f t="shared" si="25"/>
        <v>0</v>
      </c>
    </row>
    <row r="453" spans="1:6" x14ac:dyDescent="0.25">
      <c r="A453" s="222">
        <f t="shared" si="24"/>
        <v>6</v>
      </c>
      <c r="B453" s="56" t="s">
        <v>26</v>
      </c>
      <c r="C453" s="222" t="s">
        <v>18</v>
      </c>
      <c r="D453" s="31">
        <f>96+96+270+270</f>
        <v>732</v>
      </c>
      <c r="E453" s="58">
        <v>7086</v>
      </c>
      <c r="F453" s="249">
        <f t="shared" si="25"/>
        <v>5186952</v>
      </c>
    </row>
    <row r="454" spans="1:6" ht="42.75" x14ac:dyDescent="0.25">
      <c r="A454" s="222">
        <f t="shared" si="24"/>
        <v>7</v>
      </c>
      <c r="B454" s="9" t="s">
        <v>27</v>
      </c>
      <c r="C454" s="222" t="s">
        <v>64</v>
      </c>
      <c r="D454" s="31">
        <v>20</v>
      </c>
      <c r="E454" s="58">
        <v>77371</v>
      </c>
      <c r="F454" s="249">
        <f t="shared" si="25"/>
        <v>1547420</v>
      </c>
    </row>
    <row r="455" spans="1:6" x14ac:dyDescent="0.25">
      <c r="A455" s="222">
        <f t="shared" si="24"/>
        <v>8</v>
      </c>
      <c r="B455" s="18" t="s">
        <v>28</v>
      </c>
      <c r="C455" s="20"/>
      <c r="D455" s="20"/>
      <c r="E455" s="58"/>
      <c r="F455" s="249">
        <f t="shared" si="25"/>
        <v>0</v>
      </c>
    </row>
    <row r="456" spans="1:6" x14ac:dyDescent="0.25">
      <c r="A456" s="222">
        <f t="shared" si="24"/>
        <v>9</v>
      </c>
      <c r="B456" s="17" t="s">
        <v>29</v>
      </c>
      <c r="C456" s="222" t="s">
        <v>64</v>
      </c>
      <c r="D456" s="31">
        <v>80</v>
      </c>
      <c r="E456" s="58">
        <v>26395</v>
      </c>
      <c r="F456" s="249">
        <f t="shared" si="25"/>
        <v>2111600</v>
      </c>
    </row>
    <row r="457" spans="1:6" ht="29.25" x14ac:dyDescent="0.25">
      <c r="A457" s="222">
        <f t="shared" si="24"/>
        <v>10</v>
      </c>
      <c r="B457" s="17" t="s">
        <v>279</v>
      </c>
      <c r="C457" s="222" t="s">
        <v>64</v>
      </c>
      <c r="D457" s="31">
        <v>60</v>
      </c>
      <c r="E457" s="58">
        <v>32848</v>
      </c>
      <c r="F457" s="249">
        <f t="shared" si="25"/>
        <v>1970880</v>
      </c>
    </row>
    <row r="458" spans="1:6" x14ac:dyDescent="0.25">
      <c r="A458" s="222">
        <f t="shared" si="24"/>
        <v>11</v>
      </c>
      <c r="B458" s="18" t="s">
        <v>80</v>
      </c>
      <c r="C458" s="20"/>
      <c r="D458" s="20"/>
      <c r="E458" s="58"/>
      <c r="F458" s="249">
        <f t="shared" si="25"/>
        <v>0</v>
      </c>
    </row>
    <row r="459" spans="1:6" x14ac:dyDescent="0.25">
      <c r="A459" s="222">
        <f t="shared" si="24"/>
        <v>12</v>
      </c>
      <c r="B459" s="17" t="s">
        <v>304</v>
      </c>
      <c r="C459" s="222" t="s">
        <v>18</v>
      </c>
      <c r="D459" s="31">
        <v>96</v>
      </c>
      <c r="E459" s="58">
        <v>11886</v>
      </c>
      <c r="F459" s="249">
        <f t="shared" si="25"/>
        <v>1141056</v>
      </c>
    </row>
    <row r="460" spans="1:6" ht="42.75" x14ac:dyDescent="0.25">
      <c r="A460" s="222">
        <f t="shared" si="24"/>
        <v>13</v>
      </c>
      <c r="B460" s="9" t="s">
        <v>285</v>
      </c>
      <c r="C460" s="222" t="s">
        <v>37</v>
      </c>
      <c r="D460" s="31">
        <v>36</v>
      </c>
      <c r="E460" s="58">
        <v>42039</v>
      </c>
      <c r="F460" s="249">
        <f t="shared" si="25"/>
        <v>1513404</v>
      </c>
    </row>
    <row r="461" spans="1:6" x14ac:dyDescent="0.25">
      <c r="A461" s="222">
        <f t="shared" si="24"/>
        <v>14</v>
      </c>
      <c r="B461" s="57" t="s">
        <v>286</v>
      </c>
      <c r="C461" s="222" t="s">
        <v>37</v>
      </c>
      <c r="D461" s="31">
        <v>2</v>
      </c>
      <c r="E461" s="58">
        <v>210191</v>
      </c>
      <c r="F461" s="249">
        <f t="shared" si="25"/>
        <v>420382</v>
      </c>
    </row>
    <row r="462" spans="1:6" ht="57.75" x14ac:dyDescent="0.25">
      <c r="A462" s="222">
        <f t="shared" si="24"/>
        <v>15</v>
      </c>
      <c r="B462" s="17" t="s">
        <v>287</v>
      </c>
      <c r="C462" s="222" t="s">
        <v>37</v>
      </c>
      <c r="D462" s="31">
        <v>2</v>
      </c>
      <c r="E462" s="58">
        <v>345600</v>
      </c>
      <c r="F462" s="249">
        <f t="shared" si="25"/>
        <v>691200</v>
      </c>
    </row>
    <row r="463" spans="1:6" x14ac:dyDescent="0.25">
      <c r="A463" s="222">
        <f t="shared" si="24"/>
        <v>16</v>
      </c>
      <c r="B463" s="17" t="s">
        <v>288</v>
      </c>
      <c r="C463" s="222" t="s">
        <v>120</v>
      </c>
      <c r="D463" s="31">
        <v>6</v>
      </c>
      <c r="E463" s="58">
        <v>90583</v>
      </c>
      <c r="F463" s="249">
        <f t="shared" si="25"/>
        <v>543498</v>
      </c>
    </row>
    <row r="464" spans="1:6" x14ac:dyDescent="0.25">
      <c r="A464" s="222">
        <f t="shared" si="24"/>
        <v>17</v>
      </c>
      <c r="B464" s="18" t="s">
        <v>43</v>
      </c>
      <c r="C464" s="20"/>
      <c r="D464" s="20"/>
      <c r="E464" s="58"/>
      <c r="F464" s="249">
        <f t="shared" si="25"/>
        <v>0</v>
      </c>
    </row>
    <row r="465" spans="1:11" x14ac:dyDescent="0.25">
      <c r="A465" s="222">
        <f t="shared" si="24"/>
        <v>18</v>
      </c>
      <c r="B465" s="9" t="s">
        <v>44</v>
      </c>
      <c r="C465" s="222" t="s">
        <v>64</v>
      </c>
      <c r="D465" s="31">
        <v>9</v>
      </c>
      <c r="E465" s="58">
        <v>121019</v>
      </c>
      <c r="F465" s="249">
        <f t="shared" si="25"/>
        <v>1089171</v>
      </c>
    </row>
    <row r="466" spans="1:11" ht="29.25" x14ac:dyDescent="0.25">
      <c r="A466" s="222">
        <f t="shared" si="24"/>
        <v>19</v>
      </c>
      <c r="B466" s="17" t="s">
        <v>45</v>
      </c>
      <c r="C466" s="222" t="s">
        <v>64</v>
      </c>
      <c r="D466" s="31">
        <v>42</v>
      </c>
      <c r="E466" s="58">
        <v>22197</v>
      </c>
      <c r="F466" s="249">
        <f t="shared" si="25"/>
        <v>932274</v>
      </c>
    </row>
    <row r="467" spans="1:11" x14ac:dyDescent="0.25">
      <c r="A467" s="222">
        <f t="shared" si="24"/>
        <v>20</v>
      </c>
      <c r="B467" s="17" t="s">
        <v>46</v>
      </c>
      <c r="C467" s="222" t="s">
        <v>64</v>
      </c>
      <c r="D467" s="31">
        <v>1</v>
      </c>
      <c r="E467" s="58">
        <v>145281</v>
      </c>
      <c r="F467" s="249">
        <f t="shared" si="25"/>
        <v>145281</v>
      </c>
    </row>
    <row r="468" spans="1:11" x14ac:dyDescent="0.25">
      <c r="A468" s="222">
        <f t="shared" si="24"/>
        <v>21</v>
      </c>
      <c r="B468" s="18" t="s">
        <v>48</v>
      </c>
      <c r="C468" s="20"/>
      <c r="D468" s="20"/>
      <c r="E468" s="58"/>
      <c r="F468" s="249">
        <f t="shared" si="25"/>
        <v>0</v>
      </c>
    </row>
    <row r="469" spans="1:11" ht="29.25" x14ac:dyDescent="0.25">
      <c r="A469" s="222">
        <f t="shared" si="24"/>
        <v>22</v>
      </c>
      <c r="B469" s="17" t="s">
        <v>49</v>
      </c>
      <c r="C469" s="222" t="s">
        <v>64</v>
      </c>
      <c r="D469" s="31">
        <v>0.5</v>
      </c>
      <c r="E469" s="58">
        <v>607296</v>
      </c>
      <c r="F469" s="249">
        <f t="shared" si="25"/>
        <v>303648</v>
      </c>
    </row>
    <row r="470" spans="1:11" ht="29.25" x14ac:dyDescent="0.25">
      <c r="A470" s="222">
        <f t="shared" si="24"/>
        <v>23</v>
      </c>
      <c r="B470" s="17" t="s">
        <v>50</v>
      </c>
      <c r="C470" s="222" t="s">
        <v>64</v>
      </c>
      <c r="D470" s="31">
        <v>1</v>
      </c>
      <c r="E470" s="58">
        <v>824735</v>
      </c>
      <c r="F470" s="249">
        <f t="shared" si="25"/>
        <v>824735</v>
      </c>
    </row>
    <row r="471" spans="1:11" x14ac:dyDescent="0.25">
      <c r="A471" s="222">
        <f t="shared" si="24"/>
        <v>24</v>
      </c>
      <c r="B471" s="18" t="s">
        <v>51</v>
      </c>
      <c r="C471" s="20"/>
      <c r="D471" s="20"/>
      <c r="E471" s="58"/>
      <c r="F471" s="249">
        <f t="shared" si="25"/>
        <v>0</v>
      </c>
    </row>
    <row r="472" spans="1:11" x14ac:dyDescent="0.25">
      <c r="A472" s="222">
        <f t="shared" si="24"/>
        <v>25</v>
      </c>
      <c r="B472" s="17" t="s">
        <v>52</v>
      </c>
      <c r="C472" s="222" t="s">
        <v>53</v>
      </c>
      <c r="D472" s="31">
        <v>18</v>
      </c>
      <c r="E472" s="58">
        <v>5922</v>
      </c>
      <c r="F472" s="249">
        <f t="shared" si="25"/>
        <v>106596</v>
      </c>
      <c r="K472" s="80"/>
    </row>
    <row r="473" spans="1:11" x14ac:dyDescent="0.25">
      <c r="A473" s="219"/>
      <c r="B473" s="18" t="s">
        <v>56</v>
      </c>
      <c r="C473" s="54"/>
      <c r="D473" s="130"/>
      <c r="E473" s="28"/>
      <c r="F473" s="28">
        <f>ROUND((F472+F471+F470+F469+F468+F467+F466+F465+F464+F463+F462+F461+F460+F459+F458+F457+F456+F455+F454+F453+F452+F450+F451+F449),0)</f>
        <v>22117837</v>
      </c>
    </row>
    <row r="474" spans="1:11" x14ac:dyDescent="0.25">
      <c r="A474" s="19"/>
      <c r="B474" s="19" t="s">
        <v>60</v>
      </c>
      <c r="C474" s="19"/>
      <c r="D474" s="19"/>
      <c r="E474" s="19"/>
      <c r="F474" s="29">
        <f>ROUND(F473/1.3495,0)</f>
        <v>16389653</v>
      </c>
    </row>
    <row r="475" spans="1:11" x14ac:dyDescent="0.25">
      <c r="A475" s="19"/>
      <c r="B475" s="19" t="s">
        <v>61</v>
      </c>
      <c r="C475" s="131">
        <v>0.24</v>
      </c>
      <c r="D475" s="19"/>
      <c r="E475" s="19"/>
      <c r="F475" s="29">
        <f>ROUND(F474*C475,0)</f>
        <v>3933517</v>
      </c>
    </row>
    <row r="476" spans="1:11" x14ac:dyDescent="0.25">
      <c r="A476" s="19"/>
      <c r="B476" s="19" t="s">
        <v>57</v>
      </c>
      <c r="C476" s="131">
        <v>0.05</v>
      </c>
      <c r="D476" s="19"/>
      <c r="E476" s="19"/>
      <c r="F476" s="29">
        <f>ROUND(F474*C476,0)</f>
        <v>819483</v>
      </c>
    </row>
    <row r="477" spans="1:11" x14ac:dyDescent="0.25">
      <c r="A477" s="19"/>
      <c r="B477" s="19" t="s">
        <v>62</v>
      </c>
      <c r="C477" s="131">
        <v>0.05</v>
      </c>
      <c r="D477" s="19"/>
      <c r="E477" s="19"/>
      <c r="F477" s="29">
        <f>ROUND(F474*C477,0)</f>
        <v>819483</v>
      </c>
    </row>
    <row r="478" spans="1:11" x14ac:dyDescent="0.25">
      <c r="A478" s="19"/>
      <c r="B478" s="132" t="s">
        <v>63</v>
      </c>
      <c r="C478" s="133">
        <v>0.19</v>
      </c>
      <c r="D478" s="120"/>
      <c r="E478" s="120"/>
      <c r="F478" s="35">
        <f>ROUND(F477*19%,0)</f>
        <v>155702</v>
      </c>
    </row>
    <row r="479" spans="1:11" x14ac:dyDescent="0.25">
      <c r="A479" s="19"/>
      <c r="B479" s="18" t="s">
        <v>56</v>
      </c>
      <c r="C479" s="19"/>
      <c r="D479" s="19"/>
      <c r="E479" s="19"/>
      <c r="F479" s="30">
        <f>SUM(F474:F478)</f>
        <v>22117838</v>
      </c>
    </row>
    <row r="480" spans="1:11" ht="15.75" thickBot="1" x14ac:dyDescent="0.3"/>
    <row r="481" spans="1:6" ht="35.25" customHeight="1" thickBot="1" x14ac:dyDescent="0.3">
      <c r="A481" s="452" t="s">
        <v>1022</v>
      </c>
      <c r="B481" s="453"/>
      <c r="C481" s="453"/>
      <c r="D481" s="453"/>
      <c r="E481" s="453"/>
      <c r="F481" s="454"/>
    </row>
    <row r="482" spans="1:6" x14ac:dyDescent="0.25">
      <c r="A482" s="414" t="s">
        <v>421</v>
      </c>
      <c r="B482" s="414" t="s">
        <v>422</v>
      </c>
      <c r="C482" s="414" t="s">
        <v>423</v>
      </c>
      <c r="D482" s="414" t="s">
        <v>13</v>
      </c>
      <c r="E482" s="414" t="s">
        <v>424</v>
      </c>
      <c r="F482" s="414" t="s">
        <v>425</v>
      </c>
    </row>
    <row r="483" spans="1:6" x14ac:dyDescent="0.25">
      <c r="A483" s="349" t="s">
        <v>338</v>
      </c>
      <c r="B483" s="7" t="s">
        <v>16</v>
      </c>
      <c r="C483" s="349"/>
      <c r="D483" s="350"/>
      <c r="E483" s="351"/>
      <c r="F483" s="351"/>
    </row>
    <row r="484" spans="1:6" ht="43.5" x14ac:dyDescent="0.25">
      <c r="A484" s="349" t="s">
        <v>339</v>
      </c>
      <c r="B484" s="4" t="s">
        <v>340</v>
      </c>
      <c r="C484" s="65" t="s">
        <v>341</v>
      </c>
      <c r="D484" s="415">
        <v>46</v>
      </c>
      <c r="E484" s="68">
        <v>7336</v>
      </c>
      <c r="F484" s="68">
        <f>ROUND(D484*E484,0)</f>
        <v>337456</v>
      </c>
    </row>
    <row r="485" spans="1:6" ht="43.5" x14ac:dyDescent="0.25">
      <c r="A485" s="349" t="s">
        <v>342</v>
      </c>
      <c r="B485" s="4" t="s">
        <v>343</v>
      </c>
      <c r="C485" s="65" t="s">
        <v>341</v>
      </c>
      <c r="D485" s="415">
        <v>62</v>
      </c>
      <c r="E485" s="68">
        <v>12418</v>
      </c>
      <c r="F485" s="68">
        <f>ROUND(D485*E485,0)</f>
        <v>769916</v>
      </c>
    </row>
    <row r="486" spans="1:6" ht="43.5" x14ac:dyDescent="0.25">
      <c r="A486" s="349" t="s">
        <v>344</v>
      </c>
      <c r="B486" s="4" t="s">
        <v>345</v>
      </c>
      <c r="C486" s="65" t="s">
        <v>125</v>
      </c>
      <c r="D486" s="415">
        <v>2</v>
      </c>
      <c r="E486" s="68">
        <v>236357</v>
      </c>
      <c r="F486" s="68">
        <f>ROUND(D486*E486,0)</f>
        <v>472714</v>
      </c>
    </row>
    <row r="487" spans="1:6" x14ac:dyDescent="0.25">
      <c r="A487" s="349">
        <v>2</v>
      </c>
      <c r="B487" s="7" t="s">
        <v>347</v>
      </c>
      <c r="C487" s="349"/>
      <c r="D487" s="350"/>
      <c r="E487" s="351" t="s">
        <v>1</v>
      </c>
      <c r="F487" s="351"/>
    </row>
    <row r="488" spans="1:6" x14ac:dyDescent="0.25">
      <c r="A488" s="349" t="s">
        <v>348</v>
      </c>
      <c r="B488" s="5" t="s">
        <v>349</v>
      </c>
      <c r="C488" s="65" t="s">
        <v>115</v>
      </c>
      <c r="D488" s="415">
        <v>11.48</v>
      </c>
      <c r="E488" s="68">
        <v>137219</v>
      </c>
      <c r="F488" s="68">
        <f>ROUND(D488*E488,0)</f>
        <v>1575274</v>
      </c>
    </row>
    <row r="489" spans="1:6" ht="29.25" x14ac:dyDescent="0.25">
      <c r="A489" s="349">
        <v>2.2000000000000002</v>
      </c>
      <c r="B489" s="4" t="s">
        <v>350</v>
      </c>
      <c r="C489" s="65" t="s">
        <v>115</v>
      </c>
      <c r="D489" s="415">
        <v>1.5</v>
      </c>
      <c r="E489" s="68">
        <v>111146</v>
      </c>
      <c r="F489" s="68">
        <f>ROUND(D489*E489,0)</f>
        <v>166719</v>
      </c>
    </row>
    <row r="490" spans="1:6" ht="29.25" x14ac:dyDescent="0.25">
      <c r="A490" s="349" t="s">
        <v>351</v>
      </c>
      <c r="B490" s="4" t="s">
        <v>464</v>
      </c>
      <c r="C490" s="65" t="s">
        <v>115</v>
      </c>
      <c r="D490" s="415">
        <v>3.19</v>
      </c>
      <c r="E490" s="68">
        <v>104427</v>
      </c>
      <c r="F490" s="68">
        <f>ROUND(D490*E490,0)</f>
        <v>333122</v>
      </c>
    </row>
    <row r="491" spans="1:6" x14ac:dyDescent="0.25">
      <c r="A491" s="349">
        <v>3</v>
      </c>
      <c r="B491" s="12" t="s">
        <v>353</v>
      </c>
      <c r="C491" s="65"/>
      <c r="D491" s="415"/>
      <c r="E491" s="416" t="s">
        <v>1</v>
      </c>
      <c r="F491" s="68"/>
    </row>
    <row r="492" spans="1:6" ht="29.25" x14ac:dyDescent="0.25">
      <c r="A492" s="349" t="s">
        <v>354</v>
      </c>
      <c r="B492" s="4" t="s">
        <v>355</v>
      </c>
      <c r="C492" s="65" t="s">
        <v>115</v>
      </c>
      <c r="D492" s="415">
        <v>84.98</v>
      </c>
      <c r="E492" s="68">
        <v>35542</v>
      </c>
      <c r="F492" s="68">
        <f>ROUND(D492*E492,0)</f>
        <v>3020359</v>
      </c>
    </row>
    <row r="493" spans="1:6" x14ac:dyDescent="0.25">
      <c r="A493" s="349">
        <v>4</v>
      </c>
      <c r="B493" s="12" t="s">
        <v>356</v>
      </c>
      <c r="C493" s="65"/>
      <c r="D493" s="415"/>
      <c r="E493" s="68" t="s">
        <v>1</v>
      </c>
      <c r="F493" s="68"/>
    </row>
    <row r="494" spans="1:6" ht="29.25" x14ac:dyDescent="0.25">
      <c r="A494" s="349" t="s">
        <v>357</v>
      </c>
      <c r="B494" s="4" t="s">
        <v>358</v>
      </c>
      <c r="C494" s="65" t="s">
        <v>115</v>
      </c>
      <c r="D494" s="415">
        <v>72.8</v>
      </c>
      <c r="E494" s="68">
        <v>29290</v>
      </c>
      <c r="F494" s="68">
        <f>ROUND(D494*E494,0)</f>
        <v>2132312</v>
      </c>
    </row>
    <row r="495" spans="1:6" ht="29.25" x14ac:dyDescent="0.25">
      <c r="A495" s="349">
        <v>4.2</v>
      </c>
      <c r="B495" s="4" t="s">
        <v>359</v>
      </c>
      <c r="C495" s="65" t="s">
        <v>115</v>
      </c>
      <c r="D495" s="415">
        <v>42.63</v>
      </c>
      <c r="E495" s="68">
        <v>34825</v>
      </c>
      <c r="F495" s="68">
        <f>ROUND(D495*E495,0)</f>
        <v>1484590</v>
      </c>
    </row>
    <row r="496" spans="1:6" ht="29.25" x14ac:dyDescent="0.25">
      <c r="A496" s="349">
        <v>4.3</v>
      </c>
      <c r="B496" s="4" t="s">
        <v>360</v>
      </c>
      <c r="C496" s="65" t="s">
        <v>20</v>
      </c>
      <c r="D496" s="415">
        <v>20</v>
      </c>
      <c r="E496" s="68">
        <v>35542</v>
      </c>
      <c r="F496" s="68">
        <f>ROUND(D496*E496,0)</f>
        <v>710840</v>
      </c>
    </row>
    <row r="497" spans="1:6" x14ac:dyDescent="0.25">
      <c r="A497" s="349">
        <v>5</v>
      </c>
      <c r="B497" s="12" t="s">
        <v>361</v>
      </c>
      <c r="C497" s="65"/>
      <c r="D497" s="415"/>
      <c r="E497" s="68" t="s">
        <v>1</v>
      </c>
      <c r="F497" s="68"/>
    </row>
    <row r="498" spans="1:6" ht="29.25" x14ac:dyDescent="0.25">
      <c r="A498" s="349" t="s">
        <v>362</v>
      </c>
      <c r="B498" s="4" t="s">
        <v>363</v>
      </c>
      <c r="C498" s="65" t="s">
        <v>115</v>
      </c>
      <c r="D498" s="415">
        <v>50.65</v>
      </c>
      <c r="E498" s="68">
        <v>24041</v>
      </c>
      <c r="F498" s="68">
        <f>ROUND(D498*E498,0)</f>
        <v>1217677</v>
      </c>
    </row>
    <row r="499" spans="1:6" ht="29.25" x14ac:dyDescent="0.25">
      <c r="A499" s="349" t="s">
        <v>364</v>
      </c>
      <c r="B499" s="4" t="s">
        <v>365</v>
      </c>
      <c r="C499" s="65" t="s">
        <v>115</v>
      </c>
      <c r="D499" s="415">
        <v>25.32</v>
      </c>
      <c r="E499" s="68">
        <v>103252</v>
      </c>
      <c r="F499" s="68">
        <f>ROUND(D499*E499,0)</f>
        <v>2614341</v>
      </c>
    </row>
    <row r="500" spans="1:6" ht="30" x14ac:dyDescent="0.25">
      <c r="A500" s="349">
        <v>6</v>
      </c>
      <c r="B500" s="12" t="s">
        <v>366</v>
      </c>
      <c r="C500" s="349"/>
      <c r="D500" s="350"/>
      <c r="E500" s="351" t="s">
        <v>1</v>
      </c>
      <c r="F500" s="351"/>
    </row>
    <row r="501" spans="1:6" ht="43.5" x14ac:dyDescent="0.25">
      <c r="A501" s="349" t="s">
        <v>367</v>
      </c>
      <c r="B501" s="4" t="s">
        <v>368</v>
      </c>
      <c r="C501" s="65" t="s">
        <v>115</v>
      </c>
      <c r="D501" s="415">
        <v>3.19</v>
      </c>
      <c r="E501" s="68">
        <v>93549</v>
      </c>
      <c r="F501" s="68">
        <f>ROUND(D501*E501,0)</f>
        <v>298421</v>
      </c>
    </row>
    <row r="502" spans="1:6" ht="57.75" x14ac:dyDescent="0.25">
      <c r="A502" s="349">
        <v>6.2</v>
      </c>
      <c r="B502" s="4" t="s">
        <v>519</v>
      </c>
      <c r="C502" s="65" t="s">
        <v>115</v>
      </c>
      <c r="D502" s="415">
        <v>13.25</v>
      </c>
      <c r="E502" s="68">
        <v>184331</v>
      </c>
      <c r="F502" s="68">
        <f>ROUND(D502*E502,0)</f>
        <v>2442386</v>
      </c>
    </row>
    <row r="503" spans="1:6" ht="43.5" x14ac:dyDescent="0.25">
      <c r="A503" s="349">
        <v>6.3</v>
      </c>
      <c r="B503" s="4" t="s">
        <v>370</v>
      </c>
      <c r="C503" s="65" t="s">
        <v>115</v>
      </c>
      <c r="D503" s="415">
        <v>27.05</v>
      </c>
      <c r="E503" s="68">
        <v>97822</v>
      </c>
      <c r="F503" s="68">
        <f>ROUND(D503*E503,0)</f>
        <v>2646085</v>
      </c>
    </row>
    <row r="504" spans="1:6" x14ac:dyDescent="0.25">
      <c r="A504" s="349">
        <v>7</v>
      </c>
      <c r="B504" s="12" t="s">
        <v>371</v>
      </c>
      <c r="C504" s="65"/>
      <c r="D504" s="415"/>
      <c r="E504" s="68" t="s">
        <v>1</v>
      </c>
      <c r="F504" s="68"/>
    </row>
    <row r="505" spans="1:6" ht="43.5" x14ac:dyDescent="0.25">
      <c r="A505" s="349" t="s">
        <v>372</v>
      </c>
      <c r="B505" s="4" t="s">
        <v>523</v>
      </c>
      <c r="C505" s="65" t="s">
        <v>18</v>
      </c>
      <c r="D505" s="415">
        <v>45</v>
      </c>
      <c r="E505" s="68">
        <v>13960</v>
      </c>
      <c r="F505" s="68">
        <f t="shared" ref="F505:F512" si="26">ROUND(D505*E505,0)</f>
        <v>628200</v>
      </c>
    </row>
    <row r="506" spans="1:6" ht="43.5" x14ac:dyDescent="0.25">
      <c r="A506" s="349" t="s">
        <v>374</v>
      </c>
      <c r="B506" s="4" t="s">
        <v>560</v>
      </c>
      <c r="C506" s="65" t="s">
        <v>18</v>
      </c>
      <c r="D506" s="415">
        <v>46</v>
      </c>
      <c r="E506" s="68">
        <v>36588</v>
      </c>
      <c r="F506" s="68">
        <f t="shared" si="26"/>
        <v>1683048</v>
      </c>
    </row>
    <row r="507" spans="1:6" ht="29.25" x14ac:dyDescent="0.25">
      <c r="A507" s="349" t="s">
        <v>376</v>
      </c>
      <c r="B507" s="4" t="s">
        <v>377</v>
      </c>
      <c r="C507" s="65" t="s">
        <v>125</v>
      </c>
      <c r="D507" s="415">
        <v>2</v>
      </c>
      <c r="E507" s="68">
        <v>103880</v>
      </c>
      <c r="F507" s="68">
        <f t="shared" si="26"/>
        <v>207760</v>
      </c>
    </row>
    <row r="508" spans="1:6" ht="29.25" x14ac:dyDescent="0.25">
      <c r="A508" s="349" t="s">
        <v>378</v>
      </c>
      <c r="B508" s="4" t="s">
        <v>379</v>
      </c>
      <c r="C508" s="65" t="s">
        <v>125</v>
      </c>
      <c r="D508" s="415">
        <v>10</v>
      </c>
      <c r="E508" s="68">
        <v>69353</v>
      </c>
      <c r="F508" s="68">
        <f t="shared" si="26"/>
        <v>693530</v>
      </c>
    </row>
    <row r="509" spans="1:6" ht="29.25" x14ac:dyDescent="0.25">
      <c r="A509" s="349" t="s">
        <v>380</v>
      </c>
      <c r="B509" s="4" t="s">
        <v>381</v>
      </c>
      <c r="C509" s="65" t="s">
        <v>18</v>
      </c>
      <c r="D509" s="415">
        <v>3</v>
      </c>
      <c r="E509" s="68">
        <v>699764</v>
      </c>
      <c r="F509" s="68">
        <f t="shared" si="26"/>
        <v>2099292</v>
      </c>
    </row>
    <row r="510" spans="1:6" ht="29.25" x14ac:dyDescent="0.25">
      <c r="A510" s="349" t="s">
        <v>382</v>
      </c>
      <c r="B510" s="4" t="s">
        <v>383</v>
      </c>
      <c r="C510" s="65" t="s">
        <v>125</v>
      </c>
      <c r="D510" s="415">
        <v>2</v>
      </c>
      <c r="E510" s="68">
        <v>587224</v>
      </c>
      <c r="F510" s="68">
        <f t="shared" si="26"/>
        <v>1174448</v>
      </c>
    </row>
    <row r="511" spans="1:6" ht="29.25" x14ac:dyDescent="0.25">
      <c r="A511" s="349" t="s">
        <v>384</v>
      </c>
      <c r="B511" s="4" t="s">
        <v>385</v>
      </c>
      <c r="C511" s="65" t="s">
        <v>125</v>
      </c>
      <c r="D511" s="415">
        <v>2</v>
      </c>
      <c r="E511" s="68">
        <v>574732</v>
      </c>
      <c r="F511" s="68">
        <f t="shared" si="26"/>
        <v>1149464</v>
      </c>
    </row>
    <row r="512" spans="1:6" ht="43.5" x14ac:dyDescent="0.25">
      <c r="A512" s="349" t="s">
        <v>386</v>
      </c>
      <c r="B512" s="4" t="s">
        <v>387</v>
      </c>
      <c r="C512" s="65" t="s">
        <v>23</v>
      </c>
      <c r="D512" s="415">
        <v>10</v>
      </c>
      <c r="E512" s="68">
        <v>419235</v>
      </c>
      <c r="F512" s="68">
        <f t="shared" si="26"/>
        <v>4192350</v>
      </c>
    </row>
    <row r="513" spans="1:6" ht="72" x14ac:dyDescent="0.25">
      <c r="A513" s="349" t="s">
        <v>390</v>
      </c>
      <c r="B513" s="4" t="s">
        <v>525</v>
      </c>
      <c r="C513" s="65" t="s">
        <v>125</v>
      </c>
      <c r="D513" s="415">
        <v>2</v>
      </c>
      <c r="E513" s="68">
        <v>779473</v>
      </c>
      <c r="F513" s="68">
        <f>ROUND(D513*E513,0)</f>
        <v>1558946</v>
      </c>
    </row>
    <row r="514" spans="1:6" x14ac:dyDescent="0.25">
      <c r="A514" s="349" t="s">
        <v>392</v>
      </c>
      <c r="B514" s="4" t="s">
        <v>393</v>
      </c>
      <c r="C514" s="65" t="s">
        <v>125</v>
      </c>
      <c r="D514" s="415">
        <v>10</v>
      </c>
      <c r="E514" s="68">
        <v>66314</v>
      </c>
      <c r="F514" s="68">
        <f>ROUND(D514*E514,0)</f>
        <v>663140</v>
      </c>
    </row>
    <row r="515" spans="1:6" x14ac:dyDescent="0.25">
      <c r="A515" s="349">
        <v>8</v>
      </c>
      <c r="B515" s="12" t="s">
        <v>394</v>
      </c>
      <c r="C515" s="65"/>
      <c r="D515" s="415"/>
      <c r="E515" s="68" t="s">
        <v>1</v>
      </c>
      <c r="F515" s="68"/>
    </row>
    <row r="516" spans="1:6" ht="29.25" x14ac:dyDescent="0.25">
      <c r="A516" s="349" t="s">
        <v>395</v>
      </c>
      <c r="B516" s="4" t="s">
        <v>396</v>
      </c>
      <c r="C516" s="65" t="s">
        <v>18</v>
      </c>
      <c r="D516" s="415">
        <v>210</v>
      </c>
      <c r="E516" s="68">
        <v>14248</v>
      </c>
      <c r="F516" s="68">
        <f>ROUND(D516*E516,0)</f>
        <v>2992080</v>
      </c>
    </row>
    <row r="517" spans="1:6" ht="57" x14ac:dyDescent="0.25">
      <c r="A517" s="349" t="s">
        <v>397</v>
      </c>
      <c r="B517" s="10" t="s">
        <v>398</v>
      </c>
      <c r="C517" s="65" t="s">
        <v>115</v>
      </c>
      <c r="D517" s="415">
        <v>11.48</v>
      </c>
      <c r="E517" s="68">
        <v>1114387</v>
      </c>
      <c r="F517" s="68">
        <f>ROUND(D517*E517,0)</f>
        <v>12793163</v>
      </c>
    </row>
    <row r="518" spans="1:6" ht="43.5" x14ac:dyDescent="0.25">
      <c r="A518" s="349">
        <v>8.4</v>
      </c>
      <c r="B518" s="355" t="s">
        <v>400</v>
      </c>
      <c r="C518" s="65" t="s">
        <v>115</v>
      </c>
      <c r="D518" s="415">
        <v>3.19</v>
      </c>
      <c r="E518" s="68">
        <v>761635</v>
      </c>
      <c r="F518" s="68">
        <f>ROUND(D518*E518,0)</f>
        <v>2429616</v>
      </c>
    </row>
    <row r="519" spans="1:6" x14ac:dyDescent="0.25">
      <c r="A519" s="413"/>
      <c r="B519" s="18" t="s">
        <v>56</v>
      </c>
      <c r="C519" s="54"/>
      <c r="D519" s="130"/>
      <c r="E519" s="28"/>
      <c r="F519" s="28">
        <f>ROUND((F516+F515+F514+F513+F512+F511+F510+F509+F508+F507+F506+F505+F504+F503+F502+F501+F500+F499+F498+F497+F496+F495+F493+F494+F492+F490+F489+F488+F517+F518+F486+F485+F484),0)</f>
        <v>52487249</v>
      </c>
    </row>
    <row r="520" spans="1:6" x14ac:dyDescent="0.25">
      <c r="A520" s="19"/>
      <c r="B520" s="19" t="s">
        <v>60</v>
      </c>
      <c r="C520" s="19"/>
      <c r="D520" s="19"/>
      <c r="E520" s="19"/>
      <c r="F520" s="29">
        <f>ROUND(F519/1.3495,0)</f>
        <v>38893849</v>
      </c>
    </row>
    <row r="521" spans="1:6" x14ac:dyDescent="0.25">
      <c r="A521" s="19"/>
      <c r="B521" s="19" t="s">
        <v>61</v>
      </c>
      <c r="C521" s="131">
        <v>0.24</v>
      </c>
      <c r="D521" s="19"/>
      <c r="E521" s="19"/>
      <c r="F521" s="29">
        <f>ROUND(F520*C521,0)</f>
        <v>9334524</v>
      </c>
    </row>
    <row r="522" spans="1:6" x14ac:dyDescent="0.25">
      <c r="A522" s="19"/>
      <c r="B522" s="19" t="s">
        <v>57</v>
      </c>
      <c r="C522" s="131">
        <v>0.05</v>
      </c>
      <c r="D522" s="19"/>
      <c r="E522" s="19"/>
      <c r="F522" s="29">
        <f>ROUND(F520*C522,0)</f>
        <v>1944692</v>
      </c>
    </row>
    <row r="523" spans="1:6" x14ac:dyDescent="0.25">
      <c r="A523" s="19"/>
      <c r="B523" s="19" t="s">
        <v>62</v>
      </c>
      <c r="C523" s="131">
        <v>0.05</v>
      </c>
      <c r="D523" s="19"/>
      <c r="E523" s="19"/>
      <c r="F523" s="29">
        <f>ROUND(F520*C523,0)</f>
        <v>1944692</v>
      </c>
    </row>
    <row r="524" spans="1:6" x14ac:dyDescent="0.25">
      <c r="A524" s="19"/>
      <c r="B524" s="132" t="s">
        <v>63</v>
      </c>
      <c r="C524" s="133">
        <v>0.19</v>
      </c>
      <c r="D524" s="120"/>
      <c r="E524" s="120"/>
      <c r="F524" s="35">
        <f>ROUND(F523*19%,0)</f>
        <v>369491</v>
      </c>
    </row>
    <row r="525" spans="1:6" x14ac:dyDescent="0.25">
      <c r="A525" s="19"/>
      <c r="B525" s="18" t="s">
        <v>56</v>
      </c>
      <c r="C525" s="19"/>
      <c r="D525" s="19"/>
      <c r="E525" s="19"/>
      <c r="F525" s="30">
        <f>SUM(F520:F524)</f>
        <v>52487248</v>
      </c>
    </row>
    <row r="527" spans="1:6" x14ac:dyDescent="0.25">
      <c r="A527" s="438" t="s">
        <v>1</v>
      </c>
      <c r="B527" s="438"/>
      <c r="C527" s="438"/>
      <c r="D527" s="438"/>
      <c r="E527" s="438"/>
      <c r="F527" s="438"/>
    </row>
    <row r="528" spans="1:6" x14ac:dyDescent="0.25">
      <c r="A528" s="422" t="s">
        <v>831</v>
      </c>
      <c r="B528" s="422"/>
      <c r="C528" s="422"/>
      <c r="D528" s="422"/>
      <c r="E528" s="422"/>
      <c r="F528" s="422"/>
    </row>
    <row r="529" spans="1:11" x14ac:dyDescent="0.25">
      <c r="A529" s="420" t="s">
        <v>10</v>
      </c>
      <c r="B529" s="420" t="s">
        <v>0</v>
      </c>
      <c r="C529" s="420" t="s">
        <v>11</v>
      </c>
      <c r="D529" s="420" t="s">
        <v>12</v>
      </c>
      <c r="E529" s="420"/>
      <c r="F529" s="420"/>
    </row>
    <row r="530" spans="1:11" x14ac:dyDescent="0.25">
      <c r="A530" s="420"/>
      <c r="B530" s="420"/>
      <c r="C530" s="420"/>
      <c r="D530" s="54" t="s">
        <v>13</v>
      </c>
      <c r="E530" s="54" t="s">
        <v>14</v>
      </c>
      <c r="F530" s="54" t="s">
        <v>15</v>
      </c>
    </row>
    <row r="531" spans="1:11" x14ac:dyDescent="0.25">
      <c r="A531" s="222">
        <f t="shared" ref="A531:A562" si="27">A530+1</f>
        <v>1</v>
      </c>
      <c r="B531" s="18" t="s">
        <v>16</v>
      </c>
      <c r="C531" s="420"/>
      <c r="D531" s="420"/>
      <c r="E531" s="420"/>
      <c r="F531" s="20"/>
    </row>
    <row r="532" spans="1:11" x14ac:dyDescent="0.25">
      <c r="A532" s="222">
        <f t="shared" si="27"/>
        <v>2</v>
      </c>
      <c r="B532" s="17" t="s">
        <v>73</v>
      </c>
      <c r="C532" s="222" t="s">
        <v>18</v>
      </c>
      <c r="D532" s="31">
        <v>102</v>
      </c>
      <c r="E532" s="59">
        <v>5214</v>
      </c>
      <c r="F532" s="249">
        <f t="shared" ref="F532:F560" si="28">ROUND(D532*E532,0)</f>
        <v>531828</v>
      </c>
    </row>
    <row r="533" spans="1:11" ht="43.5" x14ac:dyDescent="0.25">
      <c r="A533" s="222">
        <f>A532+1</f>
        <v>3</v>
      </c>
      <c r="B533" s="17" t="s">
        <v>21</v>
      </c>
      <c r="C533" s="222" t="s">
        <v>18</v>
      </c>
      <c r="D533" s="31">
        <v>216</v>
      </c>
      <c r="E533" s="59">
        <v>13608</v>
      </c>
      <c r="F533" s="249">
        <f t="shared" si="28"/>
        <v>2939328</v>
      </c>
    </row>
    <row r="534" spans="1:11" x14ac:dyDescent="0.25">
      <c r="A534" s="222">
        <f t="shared" si="27"/>
        <v>4</v>
      </c>
      <c r="B534" s="17" t="s">
        <v>22</v>
      </c>
      <c r="C534" s="222" t="s">
        <v>23</v>
      </c>
      <c r="D534" s="31">
        <v>2</v>
      </c>
      <c r="E534" s="59">
        <v>155349</v>
      </c>
      <c r="F534" s="249">
        <f t="shared" si="28"/>
        <v>310698</v>
      </c>
      <c r="K534" s="80"/>
    </row>
    <row r="535" spans="1:11" x14ac:dyDescent="0.25">
      <c r="A535" s="222">
        <f t="shared" si="27"/>
        <v>5</v>
      </c>
      <c r="B535" s="18" t="s">
        <v>25</v>
      </c>
      <c r="C535" s="20"/>
      <c r="D535" s="20"/>
      <c r="E535" s="59">
        <v>0</v>
      </c>
      <c r="F535" s="249">
        <f t="shared" si="28"/>
        <v>0</v>
      </c>
    </row>
    <row r="536" spans="1:11" x14ac:dyDescent="0.25">
      <c r="A536" s="222">
        <f t="shared" si="27"/>
        <v>6</v>
      </c>
      <c r="B536" s="56" t="s">
        <v>26</v>
      </c>
      <c r="C536" s="222" t="s">
        <v>18</v>
      </c>
      <c r="D536" s="31">
        <v>444</v>
      </c>
      <c r="E536" s="59">
        <v>7630</v>
      </c>
      <c r="F536" s="249">
        <f t="shared" si="28"/>
        <v>3387720</v>
      </c>
    </row>
    <row r="537" spans="1:11" ht="42.75" x14ac:dyDescent="0.25">
      <c r="A537" s="222">
        <f t="shared" si="27"/>
        <v>7</v>
      </c>
      <c r="B537" s="9" t="s">
        <v>27</v>
      </c>
      <c r="C537" s="222" t="s">
        <v>64</v>
      </c>
      <c r="D537" s="31">
        <v>40</v>
      </c>
      <c r="E537" s="59">
        <v>83312</v>
      </c>
      <c r="F537" s="249">
        <f t="shared" si="28"/>
        <v>3332480</v>
      </c>
    </row>
    <row r="538" spans="1:11" x14ac:dyDescent="0.25">
      <c r="A538" s="222">
        <f t="shared" si="27"/>
        <v>8</v>
      </c>
      <c r="B538" s="18" t="s">
        <v>28</v>
      </c>
      <c r="C538" s="20"/>
      <c r="D538" s="20"/>
      <c r="E538" s="59">
        <v>0</v>
      </c>
      <c r="F538" s="249">
        <f t="shared" si="28"/>
        <v>0</v>
      </c>
    </row>
    <row r="539" spans="1:11" x14ac:dyDescent="0.25">
      <c r="A539" s="222">
        <f t="shared" si="27"/>
        <v>9</v>
      </c>
      <c r="B539" s="17" t="s">
        <v>29</v>
      </c>
      <c r="C539" s="222" t="s">
        <v>64</v>
      </c>
      <c r="D539" s="31">
        <v>484</v>
      </c>
      <c r="E539" s="59">
        <v>26317</v>
      </c>
      <c r="F539" s="249">
        <f t="shared" si="28"/>
        <v>12737428</v>
      </c>
    </row>
    <row r="540" spans="1:11" x14ac:dyDescent="0.25">
      <c r="A540" s="222">
        <f t="shared" si="27"/>
        <v>10</v>
      </c>
      <c r="B540" s="17" t="s">
        <v>30</v>
      </c>
      <c r="C540" s="222" t="s">
        <v>64</v>
      </c>
      <c r="D540" s="31">
        <v>318</v>
      </c>
      <c r="E540" s="59">
        <v>30682</v>
      </c>
      <c r="F540" s="249">
        <f t="shared" si="28"/>
        <v>9756876</v>
      </c>
    </row>
    <row r="541" spans="1:11" x14ac:dyDescent="0.25">
      <c r="A541" s="222">
        <f t="shared" si="27"/>
        <v>11</v>
      </c>
      <c r="B541" s="17" t="s">
        <v>305</v>
      </c>
      <c r="C541" s="222" t="s">
        <v>20</v>
      </c>
      <c r="D541" s="31">
        <v>470</v>
      </c>
      <c r="E541" s="59">
        <v>31128</v>
      </c>
      <c r="F541" s="249">
        <f t="shared" si="28"/>
        <v>14630160</v>
      </c>
    </row>
    <row r="542" spans="1:11" ht="29.25" x14ac:dyDescent="0.25">
      <c r="A542" s="222">
        <f t="shared" si="27"/>
        <v>12</v>
      </c>
      <c r="B542" s="17" t="s">
        <v>32</v>
      </c>
      <c r="C542" s="222" t="s">
        <v>64</v>
      </c>
      <c r="D542" s="31">
        <v>140</v>
      </c>
      <c r="E542" s="59">
        <v>32749</v>
      </c>
      <c r="F542" s="249">
        <f t="shared" si="28"/>
        <v>4584860</v>
      </c>
    </row>
    <row r="543" spans="1:11" x14ac:dyDescent="0.25">
      <c r="A543" s="222">
        <f t="shared" si="27"/>
        <v>13</v>
      </c>
      <c r="B543" s="18" t="s">
        <v>33</v>
      </c>
      <c r="C543" s="20"/>
      <c r="D543" s="20"/>
      <c r="E543" s="242">
        <v>0</v>
      </c>
      <c r="F543" s="249">
        <f t="shared" si="28"/>
        <v>0</v>
      </c>
    </row>
    <row r="544" spans="1:11" ht="29.25" x14ac:dyDescent="0.25">
      <c r="A544" s="222">
        <f t="shared" si="27"/>
        <v>14</v>
      </c>
      <c r="B544" s="17" t="s">
        <v>280</v>
      </c>
      <c r="C544" s="222" t="s">
        <v>18</v>
      </c>
      <c r="D544" s="31">
        <v>102</v>
      </c>
      <c r="E544" s="59">
        <v>47544</v>
      </c>
      <c r="F544" s="249">
        <f t="shared" si="28"/>
        <v>4849488</v>
      </c>
    </row>
    <row r="545" spans="1:11" ht="57" x14ac:dyDescent="0.25">
      <c r="A545" s="222">
        <f t="shared" si="27"/>
        <v>15</v>
      </c>
      <c r="B545" s="57" t="s">
        <v>35</v>
      </c>
      <c r="C545" s="222" t="s">
        <v>18</v>
      </c>
      <c r="D545" s="31">
        <v>3</v>
      </c>
      <c r="E545" s="59">
        <v>637411</v>
      </c>
      <c r="F545" s="249">
        <f t="shared" si="28"/>
        <v>1912233</v>
      </c>
    </row>
    <row r="546" spans="1:11" ht="57.75" x14ac:dyDescent="0.25">
      <c r="A546" s="222">
        <f t="shared" si="27"/>
        <v>16</v>
      </c>
      <c r="B546" s="17" t="s">
        <v>36</v>
      </c>
      <c r="C546" s="222" t="s">
        <v>37</v>
      </c>
      <c r="D546" s="31">
        <v>4</v>
      </c>
      <c r="E546" s="59">
        <v>777600</v>
      </c>
      <c r="F546" s="249">
        <f t="shared" si="28"/>
        <v>3110400</v>
      </c>
    </row>
    <row r="547" spans="1:11" x14ac:dyDescent="0.25">
      <c r="A547" s="222">
        <f t="shared" si="27"/>
        <v>17</v>
      </c>
      <c r="B547" s="55" t="s">
        <v>38</v>
      </c>
      <c r="C547" s="222" t="s">
        <v>37</v>
      </c>
      <c r="D547" s="31">
        <v>4</v>
      </c>
      <c r="E547" s="59">
        <v>540447</v>
      </c>
      <c r="F547" s="249">
        <f t="shared" si="28"/>
        <v>2161788</v>
      </c>
    </row>
    <row r="548" spans="1:11" ht="43.5" x14ac:dyDescent="0.25">
      <c r="A548" s="222">
        <f t="shared" si="27"/>
        <v>18</v>
      </c>
      <c r="B548" s="17" t="s">
        <v>39</v>
      </c>
      <c r="C548" s="222" t="s">
        <v>18</v>
      </c>
      <c r="D548" s="31">
        <v>120</v>
      </c>
      <c r="E548" s="59">
        <v>13802</v>
      </c>
      <c r="F548" s="249">
        <f t="shared" si="28"/>
        <v>1656240</v>
      </c>
    </row>
    <row r="549" spans="1:11" ht="43.5" x14ac:dyDescent="0.25">
      <c r="A549" s="222">
        <f t="shared" si="27"/>
        <v>19</v>
      </c>
      <c r="B549" s="17" t="s">
        <v>75</v>
      </c>
      <c r="C549" s="222" t="s">
        <v>23</v>
      </c>
      <c r="D549" s="31">
        <v>24</v>
      </c>
      <c r="E549" s="59">
        <v>399818</v>
      </c>
      <c r="F549" s="249">
        <f t="shared" si="28"/>
        <v>9595632</v>
      </c>
    </row>
    <row r="550" spans="1:11" x14ac:dyDescent="0.25">
      <c r="A550" s="222">
        <f t="shared" si="27"/>
        <v>20</v>
      </c>
      <c r="B550" s="17" t="s">
        <v>306</v>
      </c>
      <c r="C550" s="222" t="s">
        <v>23</v>
      </c>
      <c r="D550" s="31">
        <v>16</v>
      </c>
      <c r="E550" s="59">
        <v>49187</v>
      </c>
      <c r="F550" s="249">
        <f t="shared" si="28"/>
        <v>786992</v>
      </c>
    </row>
    <row r="551" spans="1:11" x14ac:dyDescent="0.25">
      <c r="A551" s="222">
        <f t="shared" si="27"/>
        <v>21</v>
      </c>
      <c r="B551" s="17" t="s">
        <v>42</v>
      </c>
      <c r="C551" s="222" t="s">
        <v>23</v>
      </c>
      <c r="D551" s="31">
        <v>6</v>
      </c>
      <c r="E551" s="59">
        <v>90312</v>
      </c>
      <c r="F551" s="249">
        <f t="shared" si="28"/>
        <v>541872</v>
      </c>
    </row>
    <row r="552" spans="1:11" x14ac:dyDescent="0.25">
      <c r="A552" s="222">
        <f t="shared" si="27"/>
        <v>22</v>
      </c>
      <c r="B552" s="18" t="s">
        <v>43</v>
      </c>
      <c r="C552" s="20"/>
      <c r="D552" s="20"/>
      <c r="E552" s="59">
        <v>0</v>
      </c>
      <c r="F552" s="249">
        <f t="shared" si="28"/>
        <v>0</v>
      </c>
    </row>
    <row r="553" spans="1:11" x14ac:dyDescent="0.25">
      <c r="A553" s="222">
        <f t="shared" si="27"/>
        <v>23</v>
      </c>
      <c r="B553" s="9" t="s">
        <v>44</v>
      </c>
      <c r="C553" s="222" t="s">
        <v>64</v>
      </c>
      <c r="D553" s="31">
        <v>30</v>
      </c>
      <c r="E553" s="59">
        <v>120657</v>
      </c>
      <c r="F553" s="249">
        <f t="shared" si="28"/>
        <v>3619710</v>
      </c>
    </row>
    <row r="554" spans="1:11" ht="28.5" x14ac:dyDescent="0.25">
      <c r="A554" s="222">
        <f t="shared" si="27"/>
        <v>24</v>
      </c>
      <c r="B554" s="9" t="s">
        <v>45</v>
      </c>
      <c r="C554" s="222" t="s">
        <v>64</v>
      </c>
      <c r="D554" s="31">
        <v>709</v>
      </c>
      <c r="E554" s="59">
        <v>22131</v>
      </c>
      <c r="F554" s="249">
        <f t="shared" si="28"/>
        <v>15690879</v>
      </c>
    </row>
    <row r="555" spans="1:11" x14ac:dyDescent="0.25">
      <c r="A555" s="222">
        <f t="shared" si="27"/>
        <v>25</v>
      </c>
      <c r="B555" s="9" t="s">
        <v>46</v>
      </c>
      <c r="C555" s="222" t="s">
        <v>64</v>
      </c>
      <c r="D555" s="31">
        <v>54</v>
      </c>
      <c r="E555" s="59">
        <v>144847</v>
      </c>
      <c r="F555" s="249">
        <f t="shared" si="28"/>
        <v>7821738</v>
      </c>
    </row>
    <row r="556" spans="1:11" x14ac:dyDescent="0.25">
      <c r="A556" s="222">
        <f t="shared" si="27"/>
        <v>26</v>
      </c>
      <c r="B556" s="18" t="s">
        <v>48</v>
      </c>
      <c r="C556" s="20"/>
      <c r="D556" s="20"/>
      <c r="E556" s="59">
        <v>0</v>
      </c>
      <c r="F556" s="249">
        <f t="shared" si="28"/>
        <v>0</v>
      </c>
    </row>
    <row r="557" spans="1:11" ht="29.25" x14ac:dyDescent="0.25">
      <c r="A557" s="222">
        <f t="shared" si="27"/>
        <v>27</v>
      </c>
      <c r="B557" s="17" t="s">
        <v>49</v>
      </c>
      <c r="C557" s="220" t="s">
        <v>64</v>
      </c>
      <c r="D557" s="31">
        <v>1</v>
      </c>
      <c r="E557" s="59">
        <v>605480</v>
      </c>
      <c r="F557" s="249">
        <f t="shared" si="28"/>
        <v>605480</v>
      </c>
    </row>
    <row r="558" spans="1:11" ht="29.25" x14ac:dyDescent="0.25">
      <c r="A558" s="222">
        <f t="shared" si="27"/>
        <v>28</v>
      </c>
      <c r="B558" s="17" t="s">
        <v>50</v>
      </c>
      <c r="C558" s="220" t="s">
        <v>64</v>
      </c>
      <c r="D558" s="31">
        <v>40</v>
      </c>
      <c r="E558" s="59">
        <v>822268</v>
      </c>
      <c r="F558" s="249">
        <f t="shared" si="28"/>
        <v>32890720</v>
      </c>
    </row>
    <row r="559" spans="1:11" x14ac:dyDescent="0.25">
      <c r="A559" s="222">
        <f t="shared" si="27"/>
        <v>29</v>
      </c>
      <c r="B559" s="18" t="s">
        <v>51</v>
      </c>
      <c r="C559" s="20"/>
      <c r="D559" s="20"/>
      <c r="E559" s="59">
        <v>0</v>
      </c>
      <c r="F559" s="249">
        <f t="shared" si="28"/>
        <v>0</v>
      </c>
    </row>
    <row r="560" spans="1:11" x14ac:dyDescent="0.25">
      <c r="A560" s="222">
        <f t="shared" si="27"/>
        <v>30</v>
      </c>
      <c r="B560" s="17" t="s">
        <v>52</v>
      </c>
      <c r="C560" s="222" t="s">
        <v>53</v>
      </c>
      <c r="D560" s="31">
        <v>120</v>
      </c>
      <c r="E560" s="59">
        <v>5922</v>
      </c>
      <c r="F560" s="249">
        <f t="shared" si="28"/>
        <v>710640</v>
      </c>
      <c r="K560" s="80"/>
    </row>
    <row r="561" spans="1:13" ht="43.5" x14ac:dyDescent="0.25">
      <c r="A561" s="222">
        <f t="shared" si="27"/>
        <v>31</v>
      </c>
      <c r="B561" s="17" t="s">
        <v>820</v>
      </c>
      <c r="C561" s="222" t="s">
        <v>55</v>
      </c>
      <c r="D561" s="31">
        <v>4</v>
      </c>
      <c r="E561" s="59">
        <f>1673138</f>
        <v>1673138</v>
      </c>
      <c r="F561" s="187">
        <f t="shared" ref="F561:F562" si="29">D561*E561</f>
        <v>6692552</v>
      </c>
      <c r="K561" s="80"/>
    </row>
    <row r="562" spans="1:13" ht="29.25" x14ac:dyDescent="0.25">
      <c r="A562" s="222">
        <f t="shared" si="27"/>
        <v>32</v>
      </c>
      <c r="B562" s="17" t="s">
        <v>819</v>
      </c>
      <c r="C562" s="222" t="s">
        <v>23</v>
      </c>
      <c r="D562" s="31">
        <v>1</v>
      </c>
      <c r="E562" s="58">
        <v>788768</v>
      </c>
      <c r="F562" s="187">
        <f t="shared" si="29"/>
        <v>788768</v>
      </c>
      <c r="K562" s="80"/>
    </row>
    <row r="563" spans="1:13" x14ac:dyDescent="0.25">
      <c r="A563" s="219"/>
      <c r="B563" s="18" t="s">
        <v>56</v>
      </c>
      <c r="C563" s="54"/>
      <c r="D563" s="130"/>
      <c r="E563" s="28"/>
      <c r="F563" s="28">
        <f>ROUND((F560+F559+F558+F557+F556+F555+F554+F553+F552+F551+F550+F549+F548+F547+F546+F545+F544+F543+F542+F541+F540+F539+F537+F538+F536+F534+F533+F532+F561+F562),0)</f>
        <v>145646510</v>
      </c>
    </row>
    <row r="564" spans="1:13" x14ac:dyDescent="0.25">
      <c r="A564" s="19"/>
      <c r="B564" s="19" t="s">
        <v>60</v>
      </c>
      <c r="C564" s="19"/>
      <c r="D564" s="19"/>
      <c r="E564" s="19"/>
      <c r="F564" s="29">
        <f>ROUND(F563/1.3495,0)</f>
        <v>107926276</v>
      </c>
    </row>
    <row r="565" spans="1:13" x14ac:dyDescent="0.25">
      <c r="A565" s="19"/>
      <c r="B565" s="19" t="s">
        <v>61</v>
      </c>
      <c r="C565" s="131">
        <v>0.24</v>
      </c>
      <c r="D565" s="19"/>
      <c r="E565" s="19"/>
      <c r="F565" s="29">
        <f>ROUND(F564*C565,0)</f>
        <v>25902306</v>
      </c>
    </row>
    <row r="566" spans="1:13" x14ac:dyDescent="0.25">
      <c r="A566" s="19"/>
      <c r="B566" s="19" t="s">
        <v>57</v>
      </c>
      <c r="C566" s="131">
        <v>0.05</v>
      </c>
      <c r="D566" s="19"/>
      <c r="E566" s="19"/>
      <c r="F566" s="29">
        <f>ROUND(F564*C566,0)</f>
        <v>5396314</v>
      </c>
    </row>
    <row r="567" spans="1:13" x14ac:dyDescent="0.25">
      <c r="A567" s="19"/>
      <c r="B567" s="19" t="s">
        <v>62</v>
      </c>
      <c r="C567" s="131">
        <v>0.05</v>
      </c>
      <c r="D567" s="19"/>
      <c r="E567" s="19"/>
      <c r="F567" s="29">
        <f>ROUND(F564*C567,0)</f>
        <v>5396314</v>
      </c>
    </row>
    <row r="568" spans="1:13" x14ac:dyDescent="0.25">
      <c r="A568" s="19"/>
      <c r="B568" s="132" t="s">
        <v>63</v>
      </c>
      <c r="C568" s="133">
        <v>0.19</v>
      </c>
      <c r="D568" s="120"/>
      <c r="E568" s="120"/>
      <c r="F568" s="35">
        <f>ROUND(F567*19%,0)</f>
        <v>1025300</v>
      </c>
      <c r="K568" s="80"/>
      <c r="L568" s="298"/>
      <c r="M568" s="83"/>
    </row>
    <row r="569" spans="1:13" x14ac:dyDescent="0.25">
      <c r="A569" s="19"/>
      <c r="B569" s="18" t="s">
        <v>56</v>
      </c>
      <c r="C569" s="19"/>
      <c r="D569" s="19"/>
      <c r="E569" s="19"/>
      <c r="F569" s="30">
        <f>SUM(F564:F568)</f>
        <v>145646510</v>
      </c>
    </row>
    <row r="572" spans="1:13" x14ac:dyDescent="0.25">
      <c r="B572" s="299" t="s">
        <v>809</v>
      </c>
      <c r="C572" s="299"/>
      <c r="D572" s="299"/>
      <c r="E572" s="299"/>
      <c r="F572" s="137">
        <f>F563+F479+F438+F404+F364+F325+F290+F256+F217+F194+F149+F121+F71+F37+F519</f>
        <v>1033265374</v>
      </c>
      <c r="G572" s="80"/>
    </row>
    <row r="574" spans="1:13" x14ac:dyDescent="0.25">
      <c r="G574" s="83"/>
      <c r="H574" s="298"/>
      <c r="I574" s="83"/>
    </row>
  </sheetData>
  <mergeCells count="55">
    <mergeCell ref="C335:E335"/>
    <mergeCell ref="A372:F372"/>
    <mergeCell ref="C374:E374"/>
    <mergeCell ref="A258:F258"/>
    <mergeCell ref="C260:E260"/>
    <mergeCell ref="A298:F298"/>
    <mergeCell ref="C300:E300"/>
    <mergeCell ref="A333:F333"/>
    <mergeCell ref="C198:C199"/>
    <mergeCell ref="D198:F198"/>
    <mergeCell ref="C227:C228"/>
    <mergeCell ref="D227:F227"/>
    <mergeCell ref="A227:A228"/>
    <mergeCell ref="A198:A199"/>
    <mergeCell ref="A226:F226"/>
    <mergeCell ref="A197:F197"/>
    <mergeCell ref="C160:E160"/>
    <mergeCell ref="A157:F157"/>
    <mergeCell ref="A158:A159"/>
    <mergeCell ref="B158:B159"/>
    <mergeCell ref="C158:C159"/>
    <mergeCell ref="D158:F158"/>
    <mergeCell ref="C48:E48"/>
    <mergeCell ref="A79:F79"/>
    <mergeCell ref="C81:E81"/>
    <mergeCell ref="A123:F123"/>
    <mergeCell ref="C125:E125"/>
    <mergeCell ref="A45:F45"/>
    <mergeCell ref="A46:A47"/>
    <mergeCell ref="B46:B47"/>
    <mergeCell ref="C46:C47"/>
    <mergeCell ref="D46:F46"/>
    <mergeCell ref="C7:E7"/>
    <mergeCell ref="A2:F2"/>
    <mergeCell ref="A4:F4"/>
    <mergeCell ref="A5:A6"/>
    <mergeCell ref="B5:B6"/>
    <mergeCell ref="C5:C6"/>
    <mergeCell ref="D5:F5"/>
    <mergeCell ref="A406:F406"/>
    <mergeCell ref="A407:A408"/>
    <mergeCell ref="B407:B408"/>
    <mergeCell ref="C407:C408"/>
    <mergeCell ref="D407:F407"/>
    <mergeCell ref="C409:E409"/>
    <mergeCell ref="A446:F446"/>
    <mergeCell ref="C448:E448"/>
    <mergeCell ref="A527:F527"/>
    <mergeCell ref="A528:F528"/>
    <mergeCell ref="A481:F481"/>
    <mergeCell ref="A529:A530"/>
    <mergeCell ref="B529:B530"/>
    <mergeCell ref="C529:C530"/>
    <mergeCell ref="D529:F529"/>
    <mergeCell ref="C531:E531"/>
  </mergeCells>
  <pageMargins left="0.70866141732283472" right="0.70866141732283472" top="0.74803149606299213" bottom="0.74803149606299213" header="0.31496062992125984" footer="0.31496062992125984"/>
  <pageSetup scale="80" orientation="portrait" horizontalDpi="4294967295" verticalDpi="4294967295" r:id="rId1"/>
  <headerFooter>
    <oddHeader>&amp;C&amp;P de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1"/>
  <sheetViews>
    <sheetView view="pageLayout" topLeftCell="A554" zoomScaleNormal="100" workbookViewId="0">
      <selection activeCell="G485" sqref="G485:G512"/>
    </sheetView>
  </sheetViews>
  <sheetFormatPr baseColWidth="10" defaultRowHeight="15" x14ac:dyDescent="0.25"/>
  <cols>
    <col min="1" max="1" width="11.7109375" bestFit="1" customWidth="1"/>
    <col min="2" max="2" width="33" customWidth="1"/>
    <col min="4" max="4" width="11.7109375" bestFit="1" customWidth="1"/>
    <col min="5" max="5" width="18.85546875" customWidth="1"/>
    <col min="6" max="6" width="24.28515625" customWidth="1"/>
    <col min="7" max="8" width="12.5703125" bestFit="1" customWidth="1"/>
    <col min="13" max="13" width="19.5703125" customWidth="1"/>
  </cols>
  <sheetData>
    <row r="1" spans="1:7" x14ac:dyDescent="0.25">
      <c r="A1" s="81"/>
      <c r="B1" s="81"/>
      <c r="C1" s="81"/>
      <c r="D1" s="81"/>
      <c r="E1" s="81"/>
      <c r="F1" s="81"/>
      <c r="G1" s="81"/>
    </row>
    <row r="2" spans="1:7" ht="15.75" customHeight="1" x14ac:dyDescent="0.25">
      <c r="A2" s="482" t="s">
        <v>833</v>
      </c>
      <c r="B2" s="482"/>
      <c r="C2" s="482"/>
      <c r="D2" s="482"/>
      <c r="E2" s="482"/>
      <c r="F2" s="482"/>
      <c r="G2" s="300"/>
    </row>
    <row r="3" spans="1:7" x14ac:dyDescent="0.25">
      <c r="A3" s="81"/>
      <c r="B3" s="81"/>
      <c r="C3" s="81"/>
      <c r="D3" s="81"/>
      <c r="E3" s="81"/>
      <c r="F3" s="81"/>
      <c r="G3" s="81"/>
    </row>
    <row r="4" spans="1:7" x14ac:dyDescent="0.25">
      <c r="A4" s="81"/>
      <c r="B4" s="81"/>
      <c r="C4" s="81"/>
      <c r="D4" s="81"/>
      <c r="E4" s="81"/>
      <c r="F4" s="81"/>
      <c r="G4" s="81"/>
    </row>
    <row r="5" spans="1:7" ht="18" x14ac:dyDescent="0.25">
      <c r="A5" s="81"/>
      <c r="B5" s="301" t="s">
        <v>333</v>
      </c>
      <c r="C5" s="81"/>
      <c r="D5" s="81"/>
      <c r="E5" s="81"/>
      <c r="F5" s="81"/>
      <c r="G5" s="81"/>
    </row>
    <row r="6" spans="1:7" x14ac:dyDescent="0.25">
      <c r="A6" s="81"/>
      <c r="B6" s="81"/>
      <c r="C6" s="81"/>
      <c r="D6" s="81"/>
      <c r="E6" s="81"/>
      <c r="F6" s="81"/>
      <c r="G6" s="81"/>
    </row>
    <row r="7" spans="1:7" x14ac:dyDescent="0.25">
      <c r="A7" s="422" t="s">
        <v>7</v>
      </c>
      <c r="B7" s="422"/>
      <c r="C7" s="422"/>
      <c r="D7" s="422"/>
      <c r="E7" s="422"/>
      <c r="F7" s="422"/>
      <c r="G7" s="81"/>
    </row>
    <row r="8" spans="1:7" x14ac:dyDescent="0.25">
      <c r="A8" s="420" t="s">
        <v>10</v>
      </c>
      <c r="B8" s="420" t="s">
        <v>0</v>
      </c>
      <c r="C8" s="420" t="s">
        <v>11</v>
      </c>
      <c r="D8" s="420" t="s">
        <v>12</v>
      </c>
      <c r="E8" s="420"/>
      <c r="F8" s="420"/>
      <c r="G8" s="81"/>
    </row>
    <row r="9" spans="1:7" x14ac:dyDescent="0.25">
      <c r="A9" s="420"/>
      <c r="B9" s="420"/>
      <c r="C9" s="420"/>
      <c r="D9" s="54" t="s">
        <v>13</v>
      </c>
      <c r="E9" s="54" t="s">
        <v>14</v>
      </c>
      <c r="F9" s="54" t="s">
        <v>15</v>
      </c>
      <c r="G9" s="81"/>
    </row>
    <row r="10" spans="1:7" x14ac:dyDescent="0.25">
      <c r="A10" s="222">
        <v>1</v>
      </c>
      <c r="B10" s="18" t="s">
        <v>16</v>
      </c>
      <c r="C10" s="420"/>
      <c r="D10" s="420"/>
      <c r="E10" s="420"/>
      <c r="F10" s="20"/>
      <c r="G10" s="81"/>
    </row>
    <row r="11" spans="1:7" ht="29.25" x14ac:dyDescent="0.25">
      <c r="A11" s="222">
        <f>A10+1</f>
        <v>2</v>
      </c>
      <c r="B11" s="17" t="s">
        <v>17</v>
      </c>
      <c r="C11" s="222" t="s">
        <v>18</v>
      </c>
      <c r="D11" s="31">
        <v>300</v>
      </c>
      <c r="E11" s="58">
        <v>5214</v>
      </c>
      <c r="F11" s="249">
        <f t="shared" ref="F11:F22" si="0">ROUND(D11*E11,0)</f>
        <v>1564200</v>
      </c>
      <c r="G11" s="81"/>
    </row>
    <row r="12" spans="1:7" x14ac:dyDescent="0.25">
      <c r="A12" s="222">
        <f>A11+1</f>
        <v>3</v>
      </c>
      <c r="B12" s="18" t="s">
        <v>28</v>
      </c>
      <c r="C12" s="20"/>
      <c r="D12" s="20"/>
      <c r="E12" s="58"/>
      <c r="F12" s="249">
        <f t="shared" si="0"/>
        <v>0</v>
      </c>
      <c r="G12" s="81"/>
    </row>
    <row r="13" spans="1:7" x14ac:dyDescent="0.25">
      <c r="A13" s="222">
        <f t="shared" ref="A13:A22" si="1">A12+1</f>
        <v>4</v>
      </c>
      <c r="B13" s="17" t="s">
        <v>29</v>
      </c>
      <c r="C13" s="222" t="s">
        <v>64</v>
      </c>
      <c r="D13" s="31">
        <v>140</v>
      </c>
      <c r="E13" s="58">
        <v>26317</v>
      </c>
      <c r="F13" s="249">
        <f t="shared" si="0"/>
        <v>3684380</v>
      </c>
      <c r="G13" s="81"/>
    </row>
    <row r="14" spans="1:7" x14ac:dyDescent="0.25">
      <c r="A14" s="222">
        <f t="shared" si="1"/>
        <v>5</v>
      </c>
      <c r="B14" s="17" t="s">
        <v>330</v>
      </c>
      <c r="C14" s="222" t="s">
        <v>64</v>
      </c>
      <c r="D14" s="31">
        <v>40</v>
      </c>
      <c r="E14" s="58">
        <v>43000</v>
      </c>
      <c r="F14" s="249">
        <f t="shared" si="0"/>
        <v>1720000</v>
      </c>
      <c r="G14" s="81"/>
    </row>
    <row r="15" spans="1:7" x14ac:dyDescent="0.25">
      <c r="A15" s="222">
        <f t="shared" si="1"/>
        <v>6</v>
      </c>
      <c r="B15" s="17" t="s">
        <v>331</v>
      </c>
      <c r="C15" s="222" t="s">
        <v>64</v>
      </c>
      <c r="D15" s="31">
        <v>40</v>
      </c>
      <c r="E15" s="58">
        <v>22000</v>
      </c>
      <c r="F15" s="249">
        <f t="shared" si="0"/>
        <v>880000</v>
      </c>
      <c r="G15" s="81"/>
    </row>
    <row r="16" spans="1:7" x14ac:dyDescent="0.25">
      <c r="A16" s="222">
        <f t="shared" si="1"/>
        <v>7</v>
      </c>
      <c r="B16" s="188" t="s">
        <v>80</v>
      </c>
      <c r="C16" s="20"/>
      <c r="D16" s="20"/>
      <c r="E16" s="58"/>
      <c r="F16" s="249">
        <f t="shared" si="0"/>
        <v>0</v>
      </c>
      <c r="G16" s="81"/>
    </row>
    <row r="17" spans="1:10" ht="57.75" x14ac:dyDescent="0.25">
      <c r="A17" s="222">
        <f t="shared" si="1"/>
        <v>8</v>
      </c>
      <c r="B17" s="17" t="s">
        <v>854</v>
      </c>
      <c r="C17" s="222" t="s">
        <v>18</v>
      </c>
      <c r="D17" s="31">
        <v>300</v>
      </c>
      <c r="E17" s="58">
        <v>45000</v>
      </c>
      <c r="F17" s="249">
        <f t="shared" si="0"/>
        <v>13500000</v>
      </c>
      <c r="G17" s="81"/>
    </row>
    <row r="18" spans="1:10" ht="43.5" x14ac:dyDescent="0.25">
      <c r="A18" s="222">
        <f t="shared" si="1"/>
        <v>9</v>
      </c>
      <c r="B18" s="17" t="s">
        <v>855</v>
      </c>
      <c r="C18" s="222" t="s">
        <v>37</v>
      </c>
      <c r="D18" s="31">
        <v>2</v>
      </c>
      <c r="E18" s="58">
        <v>150000</v>
      </c>
      <c r="F18" s="249">
        <f t="shared" si="0"/>
        <v>300000</v>
      </c>
      <c r="G18" s="81"/>
    </row>
    <row r="19" spans="1:10" x14ac:dyDescent="0.25">
      <c r="A19" s="222">
        <f t="shared" si="1"/>
        <v>10</v>
      </c>
      <c r="B19" s="17" t="s">
        <v>288</v>
      </c>
      <c r="C19" s="222" t="s">
        <v>37</v>
      </c>
      <c r="D19" s="31">
        <v>2</v>
      </c>
      <c r="E19" s="58">
        <v>390000</v>
      </c>
      <c r="F19" s="249">
        <f t="shared" si="0"/>
        <v>780000</v>
      </c>
      <c r="G19" s="81"/>
    </row>
    <row r="20" spans="1:10" ht="57.75" x14ac:dyDescent="0.25">
      <c r="A20" s="222">
        <f t="shared" si="1"/>
        <v>11</v>
      </c>
      <c r="B20" s="17" t="s">
        <v>332</v>
      </c>
      <c r="C20" s="222" t="s">
        <v>37</v>
      </c>
      <c r="D20" s="31">
        <v>2</v>
      </c>
      <c r="E20" s="58">
        <v>350000</v>
      </c>
      <c r="F20" s="249">
        <f t="shared" si="0"/>
        <v>700000</v>
      </c>
      <c r="G20" s="81"/>
      <c r="I20" t="s">
        <v>1</v>
      </c>
    </row>
    <row r="21" spans="1:10" x14ac:dyDescent="0.25">
      <c r="A21" s="222">
        <f t="shared" si="1"/>
        <v>12</v>
      </c>
      <c r="B21" s="18" t="s">
        <v>43</v>
      </c>
      <c r="C21" s="20"/>
      <c r="D21" s="20"/>
      <c r="E21" s="58"/>
      <c r="F21" s="249">
        <f t="shared" si="0"/>
        <v>0</v>
      </c>
      <c r="G21" s="81"/>
    </row>
    <row r="22" spans="1:10" ht="29.25" x14ac:dyDescent="0.25">
      <c r="A22" s="222">
        <f t="shared" si="1"/>
        <v>13</v>
      </c>
      <c r="B22" s="17" t="s">
        <v>45</v>
      </c>
      <c r="C22" s="222" t="s">
        <v>64</v>
      </c>
      <c r="D22" s="31">
        <v>140</v>
      </c>
      <c r="E22" s="58">
        <v>20553</v>
      </c>
      <c r="F22" s="249">
        <f t="shared" si="0"/>
        <v>2877420</v>
      </c>
      <c r="G22" s="81"/>
    </row>
    <row r="23" spans="1:10" x14ac:dyDescent="0.25">
      <c r="A23" s="219"/>
      <c r="B23" s="18" t="s">
        <v>56</v>
      </c>
      <c r="C23" s="54"/>
      <c r="D23" s="130"/>
      <c r="E23" s="28"/>
      <c r="F23" s="28">
        <f>SUM(F11:F22)</f>
        <v>26006000</v>
      </c>
      <c r="G23" s="81"/>
    </row>
    <row r="24" spans="1:10" x14ac:dyDescent="0.25">
      <c r="A24" s="19"/>
      <c r="B24" s="19" t="s">
        <v>60</v>
      </c>
      <c r="C24" s="19"/>
      <c r="D24" s="19"/>
      <c r="E24" s="19"/>
      <c r="F24" s="29">
        <f>ROUND(F23/1.3495,0)</f>
        <v>19270841</v>
      </c>
      <c r="G24" s="81"/>
    </row>
    <row r="25" spans="1:10" x14ac:dyDescent="0.25">
      <c r="A25" s="19"/>
      <c r="B25" s="19" t="s">
        <v>61</v>
      </c>
      <c r="C25" s="131">
        <v>0.24</v>
      </c>
      <c r="D25" s="19"/>
      <c r="E25" s="19"/>
      <c r="F25" s="29">
        <f>ROUND(F24*C25,0)</f>
        <v>4625002</v>
      </c>
      <c r="G25" s="81"/>
      <c r="J25" s="32"/>
    </row>
    <row r="26" spans="1:10" x14ac:dyDescent="0.25">
      <c r="A26" s="19"/>
      <c r="B26" s="19" t="s">
        <v>57</v>
      </c>
      <c r="C26" s="131">
        <v>0.05</v>
      </c>
      <c r="D26" s="19"/>
      <c r="E26" s="19"/>
      <c r="F26" s="29">
        <f>ROUND(F24*C26,0)</f>
        <v>963542</v>
      </c>
      <c r="G26" s="81"/>
    </row>
    <row r="27" spans="1:10" x14ac:dyDescent="0.25">
      <c r="A27" s="19"/>
      <c r="B27" s="19" t="s">
        <v>62</v>
      </c>
      <c r="C27" s="131">
        <v>0.05</v>
      </c>
      <c r="D27" s="19"/>
      <c r="E27" s="19"/>
      <c r="F27" s="29">
        <f>ROUND(F24*C27,0)</f>
        <v>963542</v>
      </c>
      <c r="G27" s="81"/>
    </row>
    <row r="28" spans="1:10" x14ac:dyDescent="0.25">
      <c r="A28" s="19"/>
      <c r="B28" s="132" t="s">
        <v>63</v>
      </c>
      <c r="C28" s="133">
        <v>0.19</v>
      </c>
      <c r="D28" s="120"/>
      <c r="E28" s="120"/>
      <c r="F28" s="35">
        <f>ROUND(F27*19%,0)</f>
        <v>183073</v>
      </c>
      <c r="G28" s="81"/>
    </row>
    <row r="29" spans="1:10" x14ac:dyDescent="0.25">
      <c r="A29" s="19"/>
      <c r="B29" s="18" t="s">
        <v>56</v>
      </c>
      <c r="C29" s="19"/>
      <c r="D29" s="19"/>
      <c r="E29" s="19"/>
      <c r="F29" s="30">
        <f>SUM(F24:F28)</f>
        <v>26006000</v>
      </c>
      <c r="G29" s="81"/>
    </row>
    <row r="30" spans="1:10" ht="15.75" thickBot="1" x14ac:dyDescent="0.3">
      <c r="A30" s="81"/>
      <c r="B30" s="81"/>
      <c r="C30" s="81"/>
      <c r="D30" s="81"/>
      <c r="E30" s="81"/>
      <c r="F30" s="81"/>
      <c r="G30" s="81"/>
    </row>
    <row r="31" spans="1:10" ht="54.75" customHeight="1" thickBot="1" x14ac:dyDescent="0.3">
      <c r="A31" s="452" t="s">
        <v>1016</v>
      </c>
      <c r="B31" s="453"/>
      <c r="C31" s="453"/>
      <c r="D31" s="453"/>
      <c r="E31" s="453"/>
      <c r="F31" s="454"/>
      <c r="G31" s="81"/>
    </row>
    <row r="32" spans="1:10" x14ac:dyDescent="0.25">
      <c r="A32" s="395"/>
      <c r="B32" s="395"/>
      <c r="C32" s="395"/>
      <c r="D32" s="395"/>
      <c r="E32" s="395"/>
      <c r="F32" s="395"/>
      <c r="G32" s="81"/>
    </row>
    <row r="33" spans="1:7" x14ac:dyDescent="0.25">
      <c r="A33" s="459" t="s">
        <v>10</v>
      </c>
      <c r="B33" s="459" t="s">
        <v>0</v>
      </c>
      <c r="C33" s="459" t="s">
        <v>11</v>
      </c>
      <c r="D33" s="459" t="s">
        <v>12</v>
      </c>
      <c r="E33" s="459"/>
      <c r="F33" s="459"/>
      <c r="G33" s="81"/>
    </row>
    <row r="34" spans="1:7" x14ac:dyDescent="0.25">
      <c r="A34" s="459"/>
      <c r="B34" s="459"/>
      <c r="C34" s="459"/>
      <c r="D34" s="123" t="s">
        <v>13</v>
      </c>
      <c r="E34" s="123" t="s">
        <v>14</v>
      </c>
      <c r="F34" s="123" t="s">
        <v>15</v>
      </c>
      <c r="G34" s="81"/>
    </row>
    <row r="35" spans="1:7" ht="15.75" thickBot="1" x14ac:dyDescent="0.3">
      <c r="A35" s="396"/>
      <c r="B35" s="396"/>
      <c r="C35" s="396"/>
      <c r="D35" s="396"/>
      <c r="E35" s="396"/>
      <c r="F35" s="396"/>
      <c r="G35" s="81"/>
    </row>
    <row r="36" spans="1:7" x14ac:dyDescent="0.25">
      <c r="A36" s="397">
        <v>1</v>
      </c>
      <c r="B36" s="398" t="s">
        <v>16</v>
      </c>
      <c r="C36" s="398"/>
      <c r="D36" s="398"/>
      <c r="E36" s="398"/>
      <c r="F36" s="398"/>
      <c r="G36" s="81"/>
    </row>
    <row r="37" spans="1:7" ht="29.25" x14ac:dyDescent="0.25">
      <c r="A37" s="349" t="s">
        <v>339</v>
      </c>
      <c r="B37" s="4" t="s">
        <v>1002</v>
      </c>
      <c r="C37" s="349" t="s">
        <v>341</v>
      </c>
      <c r="D37" s="350">
        <v>64</v>
      </c>
      <c r="E37" s="351">
        <v>6807</v>
      </c>
      <c r="F37" s="351">
        <f>ROUND(D37*E37,0)</f>
        <v>435648</v>
      </c>
      <c r="G37" s="81"/>
    </row>
    <row r="38" spans="1:7" x14ac:dyDescent="0.25">
      <c r="A38" s="399">
        <v>2</v>
      </c>
      <c r="B38" s="400" t="s">
        <v>356</v>
      </c>
      <c r="C38" s="399"/>
      <c r="D38" s="401"/>
      <c r="E38" s="402" t="s">
        <v>1</v>
      </c>
      <c r="F38" s="402"/>
      <c r="G38" s="81"/>
    </row>
    <row r="39" spans="1:7" ht="29.25" x14ac:dyDescent="0.25">
      <c r="A39" s="349" t="s">
        <v>1003</v>
      </c>
      <c r="B39" s="400" t="s">
        <v>1004</v>
      </c>
      <c r="C39" s="349" t="s">
        <v>115</v>
      </c>
      <c r="D39" s="350">
        <v>207.75</v>
      </c>
      <c r="E39" s="351">
        <v>31257</v>
      </c>
      <c r="F39" s="351">
        <f>ROUND(D39*E39,0)</f>
        <v>6493642</v>
      </c>
      <c r="G39" s="81"/>
    </row>
    <row r="40" spans="1:7" ht="29.25" x14ac:dyDescent="0.25">
      <c r="A40" s="349" t="s">
        <v>1005</v>
      </c>
      <c r="B40" s="400" t="s">
        <v>1006</v>
      </c>
      <c r="C40" s="349" t="s">
        <v>115</v>
      </c>
      <c r="D40" s="350">
        <v>20.25</v>
      </c>
      <c r="E40" s="351">
        <v>38423</v>
      </c>
      <c r="F40" s="351">
        <f>ROUND(D40*E40,0)</f>
        <v>778066</v>
      </c>
      <c r="G40" s="81"/>
    </row>
    <row r="41" spans="1:7" x14ac:dyDescent="0.25">
      <c r="A41" s="349">
        <v>3</v>
      </c>
      <c r="B41" s="4" t="s">
        <v>1007</v>
      </c>
      <c r="C41" s="349"/>
      <c r="D41" s="350"/>
      <c r="E41" s="351" t="s">
        <v>1</v>
      </c>
      <c r="F41" s="351"/>
      <c r="G41" s="81"/>
    </row>
    <row r="42" spans="1:7" ht="29.25" x14ac:dyDescent="0.25">
      <c r="A42" s="349" t="s">
        <v>354</v>
      </c>
      <c r="B42" s="4" t="s">
        <v>1008</v>
      </c>
      <c r="C42" s="349" t="s">
        <v>115</v>
      </c>
      <c r="D42" s="350">
        <v>217.5</v>
      </c>
      <c r="E42" s="351">
        <v>26058</v>
      </c>
      <c r="F42" s="351">
        <f>ROUND(D42*E42,0)</f>
        <v>5667615</v>
      </c>
      <c r="G42" s="81"/>
    </row>
    <row r="43" spans="1:7" x14ac:dyDescent="0.25">
      <c r="A43" s="349">
        <v>4</v>
      </c>
      <c r="B43" s="7" t="s">
        <v>1009</v>
      </c>
      <c r="C43" s="349"/>
      <c r="D43" s="350"/>
      <c r="E43" s="351" t="s">
        <v>1</v>
      </c>
      <c r="F43" s="351"/>
      <c r="G43" s="81"/>
    </row>
    <row r="44" spans="1:7" ht="43.5" x14ac:dyDescent="0.25">
      <c r="A44" s="349" t="s">
        <v>357</v>
      </c>
      <c r="B44" s="6" t="s">
        <v>1010</v>
      </c>
      <c r="C44" s="349" t="s">
        <v>115</v>
      </c>
      <c r="D44" s="350">
        <v>172.5</v>
      </c>
      <c r="E44" s="351">
        <v>15453</v>
      </c>
      <c r="F44" s="351">
        <f>ROUND(D44*E44,0)</f>
        <v>2665643</v>
      </c>
      <c r="G44" s="81"/>
    </row>
    <row r="45" spans="1:7" x14ac:dyDescent="0.25">
      <c r="A45" s="349">
        <v>5</v>
      </c>
      <c r="B45" s="7" t="s">
        <v>1011</v>
      </c>
      <c r="C45" s="349"/>
      <c r="D45" s="350"/>
      <c r="E45" s="351" t="s">
        <v>1</v>
      </c>
      <c r="F45" s="351"/>
      <c r="G45" s="81"/>
    </row>
    <row r="46" spans="1:7" x14ac:dyDescent="0.25">
      <c r="A46" s="349" t="s">
        <v>362</v>
      </c>
      <c r="B46" s="5" t="s">
        <v>1012</v>
      </c>
      <c r="C46" s="349" t="s">
        <v>115</v>
      </c>
      <c r="D46" s="350">
        <v>2</v>
      </c>
      <c r="E46" s="351">
        <v>107955</v>
      </c>
      <c r="F46" s="351">
        <f>ROUND(D46*E46,0)</f>
        <v>215910</v>
      </c>
      <c r="G46" s="81"/>
    </row>
    <row r="47" spans="1:7" x14ac:dyDescent="0.25">
      <c r="A47" s="349">
        <v>5</v>
      </c>
      <c r="B47" s="7" t="s">
        <v>1013</v>
      </c>
      <c r="C47" s="349"/>
      <c r="D47" s="350"/>
      <c r="E47" s="351" t="s">
        <v>1</v>
      </c>
      <c r="F47" s="351"/>
      <c r="G47" s="81"/>
    </row>
    <row r="48" spans="1:7" ht="86.25" x14ac:dyDescent="0.25">
      <c r="A48" s="349" t="s">
        <v>1014</v>
      </c>
      <c r="B48" s="4" t="s">
        <v>1015</v>
      </c>
      <c r="C48" s="349" t="s">
        <v>20</v>
      </c>
      <c r="D48" s="350">
        <v>78</v>
      </c>
      <c r="E48" s="351">
        <v>89781</v>
      </c>
      <c r="F48" s="351">
        <f>ROUND(D48*E48,0)</f>
        <v>7002918</v>
      </c>
      <c r="G48" s="81"/>
    </row>
    <row r="49" spans="1:7" x14ac:dyDescent="0.25">
      <c r="A49" s="394"/>
      <c r="B49" s="18" t="s">
        <v>56</v>
      </c>
      <c r="C49" s="54"/>
      <c r="D49" s="130"/>
      <c r="E49" s="28"/>
      <c r="F49" s="28">
        <f>SUM(F37:F48)</f>
        <v>23259442</v>
      </c>
      <c r="G49" s="81"/>
    </row>
    <row r="50" spans="1:7" x14ac:dyDescent="0.25">
      <c r="A50" s="19"/>
      <c r="B50" s="19" t="s">
        <v>60</v>
      </c>
      <c r="C50" s="19"/>
      <c r="D50" s="19"/>
      <c r="E50" s="19"/>
      <c r="F50" s="29">
        <f>ROUND(F49/1.3495,0)</f>
        <v>17235600</v>
      </c>
      <c r="G50" s="81"/>
    </row>
    <row r="51" spans="1:7" x14ac:dyDescent="0.25">
      <c r="A51" s="19"/>
      <c r="B51" s="19" t="s">
        <v>61</v>
      </c>
      <c r="C51" s="131">
        <v>0.24</v>
      </c>
      <c r="D51" s="19"/>
      <c r="E51" s="19"/>
      <c r="F51" s="29">
        <f>ROUND(F50*C51,0)</f>
        <v>4136544</v>
      </c>
      <c r="G51" s="81"/>
    </row>
    <row r="52" spans="1:7" x14ac:dyDescent="0.25">
      <c r="A52" s="19"/>
      <c r="B52" s="19" t="s">
        <v>57</v>
      </c>
      <c r="C52" s="131">
        <v>0.05</v>
      </c>
      <c r="D52" s="19"/>
      <c r="E52" s="19"/>
      <c r="F52" s="29">
        <f>ROUND(F50*C52,0)</f>
        <v>861780</v>
      </c>
      <c r="G52" s="81"/>
    </row>
    <row r="53" spans="1:7" x14ac:dyDescent="0.25">
      <c r="A53" s="19"/>
      <c r="B53" s="19" t="s">
        <v>62</v>
      </c>
      <c r="C53" s="131">
        <v>0.05</v>
      </c>
      <c r="D53" s="19"/>
      <c r="E53" s="19"/>
      <c r="F53" s="29">
        <f>ROUND(F50*C53,0)</f>
        <v>861780</v>
      </c>
      <c r="G53" s="81"/>
    </row>
    <row r="54" spans="1:7" x14ac:dyDescent="0.25">
      <c r="A54" s="19"/>
      <c r="B54" s="132" t="s">
        <v>63</v>
      </c>
      <c r="C54" s="133">
        <v>0.19</v>
      </c>
      <c r="D54" s="120"/>
      <c r="E54" s="120"/>
      <c r="F54" s="35">
        <f>ROUND(F53*19%,0)</f>
        <v>163738</v>
      </c>
      <c r="G54" s="81"/>
    </row>
    <row r="55" spans="1:7" x14ac:dyDescent="0.25">
      <c r="A55" s="19"/>
      <c r="B55" s="18" t="s">
        <v>56</v>
      </c>
      <c r="C55" s="19"/>
      <c r="D55" s="19"/>
      <c r="E55" s="19"/>
      <c r="F55" s="30">
        <f>SUM(F50:F54)</f>
        <v>23259442</v>
      </c>
      <c r="G55" s="81"/>
    </row>
    <row r="56" spans="1:7" x14ac:dyDescent="0.25">
      <c r="A56" s="81"/>
      <c r="B56" s="81"/>
      <c r="C56" s="81"/>
      <c r="D56" s="81"/>
      <c r="E56" s="81"/>
      <c r="F56" s="81"/>
      <c r="G56" s="81"/>
    </row>
    <row r="57" spans="1:7" x14ac:dyDescent="0.25">
      <c r="A57" s="81"/>
      <c r="B57" s="81"/>
      <c r="C57" s="81"/>
      <c r="D57" s="81"/>
      <c r="E57" s="81"/>
      <c r="F57" s="81"/>
      <c r="G57" s="81"/>
    </row>
    <row r="58" spans="1:7" ht="18" x14ac:dyDescent="0.25">
      <c r="A58" s="81"/>
      <c r="B58" s="301" t="s">
        <v>430</v>
      </c>
      <c r="C58" s="81"/>
      <c r="D58" s="81"/>
      <c r="E58" s="81"/>
      <c r="F58" s="137">
        <f>F29+F55</f>
        <v>49265442</v>
      </c>
      <c r="G58" s="81"/>
    </row>
    <row r="59" spans="1:7" x14ac:dyDescent="0.25">
      <c r="A59" s="81"/>
      <c r="B59" s="81"/>
      <c r="C59" s="81"/>
      <c r="D59" s="81"/>
      <c r="E59" s="81"/>
      <c r="F59" s="81"/>
      <c r="G59" s="81"/>
    </row>
    <row r="60" spans="1:7" ht="18" x14ac:dyDescent="0.25">
      <c r="A60" s="81"/>
      <c r="B60" s="301" t="s">
        <v>5</v>
      </c>
      <c r="C60" s="81"/>
      <c r="D60" s="81"/>
      <c r="E60" s="81"/>
      <c r="F60" s="81"/>
      <c r="G60" s="81"/>
    </row>
    <row r="61" spans="1:7" x14ac:dyDescent="0.25">
      <c r="A61" s="81"/>
      <c r="B61" s="81"/>
      <c r="C61" s="81"/>
      <c r="D61" s="81"/>
      <c r="E61" s="81"/>
      <c r="F61" s="81"/>
      <c r="G61" s="81"/>
    </row>
    <row r="62" spans="1:7" x14ac:dyDescent="0.25">
      <c r="A62" s="422" t="s">
        <v>334</v>
      </c>
      <c r="B62" s="422"/>
      <c r="C62" s="422"/>
      <c r="D62" s="422"/>
      <c r="E62" s="422"/>
      <c r="F62" s="422"/>
      <c r="G62" s="81"/>
    </row>
    <row r="63" spans="1:7" x14ac:dyDescent="0.25">
      <c r="A63" s="420" t="s">
        <v>10</v>
      </c>
      <c r="B63" s="420" t="s">
        <v>0</v>
      </c>
      <c r="C63" s="420" t="s">
        <v>11</v>
      </c>
      <c r="D63" s="420" t="s">
        <v>12</v>
      </c>
      <c r="E63" s="420"/>
      <c r="F63" s="420"/>
      <c r="G63" s="81"/>
    </row>
    <row r="64" spans="1:7" x14ac:dyDescent="0.25">
      <c r="A64" s="420"/>
      <c r="B64" s="420"/>
      <c r="C64" s="420"/>
      <c r="D64" s="54" t="s">
        <v>13</v>
      </c>
      <c r="E64" s="54" t="s">
        <v>14</v>
      </c>
      <c r="F64" s="54" t="s">
        <v>15</v>
      </c>
      <c r="G64" s="81"/>
    </row>
    <row r="65" spans="1:11" x14ac:dyDescent="0.25">
      <c r="A65" s="222">
        <f t="shared" ref="A65:A94" si="2">A64+1</f>
        <v>1</v>
      </c>
      <c r="B65" s="18" t="s">
        <v>16</v>
      </c>
      <c r="C65" s="420"/>
      <c r="D65" s="420"/>
      <c r="E65" s="420"/>
      <c r="F65" s="20"/>
      <c r="G65" s="81"/>
    </row>
    <row r="66" spans="1:11" ht="29.25" x14ac:dyDescent="0.25">
      <c r="A66" s="222">
        <f t="shared" si="2"/>
        <v>2</v>
      </c>
      <c r="B66" s="17" t="s">
        <v>17</v>
      </c>
      <c r="C66" s="222" t="s">
        <v>18</v>
      </c>
      <c r="D66" s="31">
        <v>96</v>
      </c>
      <c r="E66" s="59">
        <v>5214</v>
      </c>
      <c r="F66" s="249">
        <f t="shared" ref="F66:F94" si="3">ROUND(D66*E66,0)</f>
        <v>500544</v>
      </c>
      <c r="G66" s="81"/>
    </row>
    <row r="67" spans="1:11" x14ac:dyDescent="0.25">
      <c r="A67" s="222">
        <f t="shared" si="2"/>
        <v>3</v>
      </c>
      <c r="B67" s="55" t="s">
        <v>19</v>
      </c>
      <c r="C67" s="222" t="s">
        <v>20</v>
      </c>
      <c r="D67" s="31">
        <v>576</v>
      </c>
      <c r="E67" s="59">
        <v>9047</v>
      </c>
      <c r="F67" s="249">
        <f t="shared" si="3"/>
        <v>5211072</v>
      </c>
      <c r="G67" s="81"/>
    </row>
    <row r="68" spans="1:11" ht="43.5" x14ac:dyDescent="0.25">
      <c r="A68" s="222">
        <f t="shared" si="2"/>
        <v>4</v>
      </c>
      <c r="B68" s="17" t="s">
        <v>21</v>
      </c>
      <c r="C68" s="222" t="s">
        <v>18</v>
      </c>
      <c r="D68" s="31">
        <v>204</v>
      </c>
      <c r="E68" s="59">
        <v>13608</v>
      </c>
      <c r="F68" s="249">
        <f t="shared" si="3"/>
        <v>2776032</v>
      </c>
      <c r="G68" s="81"/>
    </row>
    <row r="69" spans="1:11" x14ac:dyDescent="0.25">
      <c r="A69" s="222">
        <f t="shared" si="2"/>
        <v>5</v>
      </c>
      <c r="B69" s="55" t="s">
        <v>22</v>
      </c>
      <c r="C69" s="222" t="s">
        <v>23</v>
      </c>
      <c r="D69" s="31">
        <v>2</v>
      </c>
      <c r="E69" s="59">
        <v>155349</v>
      </c>
      <c r="F69" s="249">
        <f t="shared" si="3"/>
        <v>310698</v>
      </c>
      <c r="G69" s="81"/>
      <c r="K69" s="53"/>
    </row>
    <row r="70" spans="1:11" x14ac:dyDescent="0.25">
      <c r="A70" s="222">
        <f t="shared" si="2"/>
        <v>6</v>
      </c>
      <c r="B70" s="18" t="s">
        <v>25</v>
      </c>
      <c r="C70" s="20"/>
      <c r="D70" s="20"/>
      <c r="E70" s="59">
        <v>0</v>
      </c>
      <c r="F70" s="249">
        <f t="shared" si="3"/>
        <v>0</v>
      </c>
      <c r="G70" s="81"/>
    </row>
    <row r="71" spans="1:11" x14ac:dyDescent="0.25">
      <c r="A71" s="222">
        <f t="shared" si="2"/>
        <v>7</v>
      </c>
      <c r="B71" s="56" t="s">
        <v>26</v>
      </c>
      <c r="C71" s="222" t="s">
        <v>18</v>
      </c>
      <c r="D71" s="31">
        <v>296</v>
      </c>
      <c r="E71" s="59">
        <v>7630</v>
      </c>
      <c r="F71" s="249">
        <f t="shared" si="3"/>
        <v>2258480</v>
      </c>
      <c r="G71" s="81"/>
    </row>
    <row r="72" spans="1:11" ht="43.5" x14ac:dyDescent="0.25">
      <c r="A72" s="222">
        <f t="shared" si="2"/>
        <v>8</v>
      </c>
      <c r="B72" s="17" t="s">
        <v>27</v>
      </c>
      <c r="C72" s="222" t="s">
        <v>64</v>
      </c>
      <c r="D72" s="31">
        <v>22</v>
      </c>
      <c r="E72" s="59">
        <v>83312</v>
      </c>
      <c r="F72" s="249">
        <f t="shared" si="3"/>
        <v>1832864</v>
      </c>
      <c r="G72" s="81"/>
    </row>
    <row r="73" spans="1:11" x14ac:dyDescent="0.25">
      <c r="A73" s="222">
        <f t="shared" si="2"/>
        <v>9</v>
      </c>
      <c r="B73" s="18" t="s">
        <v>28</v>
      </c>
      <c r="C73" s="20"/>
      <c r="D73" s="20"/>
      <c r="E73" s="59">
        <v>0</v>
      </c>
      <c r="F73" s="249">
        <f t="shared" si="3"/>
        <v>0</v>
      </c>
      <c r="G73" s="81"/>
    </row>
    <row r="74" spans="1:11" x14ac:dyDescent="0.25">
      <c r="A74" s="222">
        <f t="shared" si="2"/>
        <v>10</v>
      </c>
      <c r="B74" s="55" t="s">
        <v>29</v>
      </c>
      <c r="C74" s="222" t="s">
        <v>64</v>
      </c>
      <c r="D74" s="31">
        <v>206</v>
      </c>
      <c r="E74" s="59">
        <v>26317</v>
      </c>
      <c r="F74" s="249">
        <f t="shared" si="3"/>
        <v>5421302</v>
      </c>
      <c r="G74" s="81"/>
    </row>
    <row r="75" spans="1:11" x14ac:dyDescent="0.25">
      <c r="A75" s="222">
        <f t="shared" si="2"/>
        <v>11</v>
      </c>
      <c r="B75" s="55" t="s">
        <v>31</v>
      </c>
      <c r="C75" s="222" t="s">
        <v>18</v>
      </c>
      <c r="D75" s="31">
        <v>10</v>
      </c>
      <c r="E75" s="59">
        <v>31128</v>
      </c>
      <c r="F75" s="249">
        <f t="shared" si="3"/>
        <v>311280</v>
      </c>
      <c r="G75" s="81"/>
    </row>
    <row r="76" spans="1:11" ht="29.25" x14ac:dyDescent="0.25">
      <c r="A76" s="222">
        <f t="shared" si="2"/>
        <v>12</v>
      </c>
      <c r="B76" s="17" t="s">
        <v>32</v>
      </c>
      <c r="C76" s="222" t="s">
        <v>64</v>
      </c>
      <c r="D76" s="31">
        <v>76</v>
      </c>
      <c r="E76" s="59">
        <v>32749</v>
      </c>
      <c r="F76" s="249">
        <f t="shared" si="3"/>
        <v>2488924</v>
      </c>
      <c r="G76" s="81"/>
    </row>
    <row r="77" spans="1:11" x14ac:dyDescent="0.25">
      <c r="A77" s="222">
        <f t="shared" si="2"/>
        <v>13</v>
      </c>
      <c r="B77" s="18" t="s">
        <v>33</v>
      </c>
      <c r="C77" s="20"/>
      <c r="D77" s="20"/>
      <c r="E77" s="59">
        <v>0</v>
      </c>
      <c r="F77" s="249">
        <f t="shared" si="3"/>
        <v>0</v>
      </c>
      <c r="G77" s="81"/>
    </row>
    <row r="78" spans="1:11" ht="29.25" x14ac:dyDescent="0.25">
      <c r="A78" s="222">
        <f t="shared" si="2"/>
        <v>14</v>
      </c>
      <c r="B78" s="17" t="s">
        <v>66</v>
      </c>
      <c r="C78" s="222" t="s">
        <v>18</v>
      </c>
      <c r="D78" s="31">
        <v>96</v>
      </c>
      <c r="E78" s="59">
        <v>23781</v>
      </c>
      <c r="F78" s="249">
        <f t="shared" si="3"/>
        <v>2282976</v>
      </c>
      <c r="G78" s="81"/>
    </row>
    <row r="79" spans="1:11" ht="57" x14ac:dyDescent="0.25">
      <c r="A79" s="222">
        <f t="shared" si="2"/>
        <v>15</v>
      </c>
      <c r="B79" s="57" t="s">
        <v>35</v>
      </c>
      <c r="C79" s="222" t="s">
        <v>18</v>
      </c>
      <c r="D79" s="31">
        <v>1</v>
      </c>
      <c r="E79" s="59">
        <v>637411</v>
      </c>
      <c r="F79" s="249">
        <f t="shared" si="3"/>
        <v>637411</v>
      </c>
      <c r="G79" s="81"/>
    </row>
    <row r="80" spans="1:11" ht="43.5" x14ac:dyDescent="0.25">
      <c r="A80" s="222">
        <f t="shared" si="2"/>
        <v>16</v>
      </c>
      <c r="B80" s="17" t="s">
        <v>74</v>
      </c>
      <c r="C80" s="222" t="s">
        <v>37</v>
      </c>
      <c r="D80" s="31">
        <v>3</v>
      </c>
      <c r="E80" s="59">
        <v>777600</v>
      </c>
      <c r="F80" s="249">
        <f t="shared" si="3"/>
        <v>2332800</v>
      </c>
      <c r="G80" s="81"/>
    </row>
    <row r="81" spans="1:13" x14ac:dyDescent="0.25">
      <c r="A81" s="222">
        <f t="shared" si="2"/>
        <v>17</v>
      </c>
      <c r="B81" s="55" t="s">
        <v>38</v>
      </c>
      <c r="C81" s="222" t="s">
        <v>37</v>
      </c>
      <c r="D81" s="31">
        <v>3</v>
      </c>
      <c r="E81" s="59">
        <v>540447</v>
      </c>
      <c r="F81" s="249">
        <f t="shared" si="3"/>
        <v>1621341</v>
      </c>
      <c r="G81" s="81"/>
    </row>
    <row r="82" spans="1:13" ht="43.5" x14ac:dyDescent="0.25">
      <c r="A82" s="222">
        <f t="shared" si="2"/>
        <v>18</v>
      </c>
      <c r="B82" s="17" t="s">
        <v>39</v>
      </c>
      <c r="C82" s="222" t="s">
        <v>18</v>
      </c>
      <c r="D82" s="31">
        <v>54</v>
      </c>
      <c r="E82" s="59">
        <v>13802</v>
      </c>
      <c r="F82" s="249">
        <f t="shared" si="3"/>
        <v>745308</v>
      </c>
      <c r="G82" s="81"/>
    </row>
    <row r="83" spans="1:13" ht="43.5" x14ac:dyDescent="0.25">
      <c r="A83" s="222">
        <f t="shared" si="2"/>
        <v>19</v>
      </c>
      <c r="B83" s="17" t="s">
        <v>40</v>
      </c>
      <c r="C83" s="222" t="s">
        <v>23</v>
      </c>
      <c r="D83" s="31">
        <v>13</v>
      </c>
      <c r="E83" s="59">
        <v>399818</v>
      </c>
      <c r="F83" s="249">
        <f t="shared" si="3"/>
        <v>5197634</v>
      </c>
      <c r="G83" s="81"/>
    </row>
    <row r="84" spans="1:13" x14ac:dyDescent="0.25">
      <c r="A84" s="222">
        <f t="shared" si="2"/>
        <v>20</v>
      </c>
      <c r="B84" s="55" t="s">
        <v>67</v>
      </c>
      <c r="C84" s="222" t="s">
        <v>23</v>
      </c>
      <c r="D84" s="31">
        <v>13</v>
      </c>
      <c r="E84" s="59">
        <v>43482</v>
      </c>
      <c r="F84" s="249">
        <f t="shared" si="3"/>
        <v>565266</v>
      </c>
      <c r="G84" s="81"/>
    </row>
    <row r="85" spans="1:13" x14ac:dyDescent="0.25">
      <c r="A85" s="222">
        <f t="shared" si="2"/>
        <v>21</v>
      </c>
      <c r="B85" s="55" t="s">
        <v>42</v>
      </c>
      <c r="C85" s="222" t="s">
        <v>23</v>
      </c>
      <c r="D85" s="31">
        <v>4</v>
      </c>
      <c r="E85" s="59">
        <v>90312</v>
      </c>
      <c r="F85" s="249">
        <f t="shared" si="3"/>
        <v>361248</v>
      </c>
      <c r="G85" s="81"/>
    </row>
    <row r="86" spans="1:13" x14ac:dyDescent="0.25">
      <c r="A86" s="222">
        <f t="shared" si="2"/>
        <v>22</v>
      </c>
      <c r="B86" s="18" t="s">
        <v>43</v>
      </c>
      <c r="C86" s="20"/>
      <c r="D86" s="20"/>
      <c r="E86" s="59">
        <v>0</v>
      </c>
      <c r="F86" s="249">
        <f t="shared" si="3"/>
        <v>0</v>
      </c>
      <c r="G86" s="81"/>
    </row>
    <row r="87" spans="1:13" x14ac:dyDescent="0.25">
      <c r="A87" s="222">
        <f t="shared" si="2"/>
        <v>23</v>
      </c>
      <c r="B87" s="55" t="s">
        <v>44</v>
      </c>
      <c r="C87" s="222" t="s">
        <v>64</v>
      </c>
      <c r="D87" s="31">
        <v>14</v>
      </c>
      <c r="E87" s="59">
        <v>120657</v>
      </c>
      <c r="F87" s="249">
        <f t="shared" si="3"/>
        <v>1689198</v>
      </c>
      <c r="G87" s="81"/>
    </row>
    <row r="88" spans="1:13" ht="29.25" x14ac:dyDescent="0.25">
      <c r="A88" s="222">
        <f t="shared" si="2"/>
        <v>24</v>
      </c>
      <c r="B88" s="17" t="s">
        <v>45</v>
      </c>
      <c r="C88" s="222" t="s">
        <v>64</v>
      </c>
      <c r="D88" s="31">
        <v>154</v>
      </c>
      <c r="E88" s="59">
        <v>22131</v>
      </c>
      <c r="F88" s="249">
        <f t="shared" si="3"/>
        <v>3408174</v>
      </c>
      <c r="G88" s="81"/>
    </row>
    <row r="89" spans="1:13" x14ac:dyDescent="0.25">
      <c r="A89" s="222">
        <f t="shared" si="2"/>
        <v>25</v>
      </c>
      <c r="B89" s="55" t="s">
        <v>46</v>
      </c>
      <c r="C89" s="222" t="s">
        <v>64</v>
      </c>
      <c r="D89" s="31">
        <v>30</v>
      </c>
      <c r="E89" s="59">
        <v>144847</v>
      </c>
      <c r="F89" s="249">
        <f t="shared" si="3"/>
        <v>4345410</v>
      </c>
      <c r="G89" s="81"/>
    </row>
    <row r="90" spans="1:13" x14ac:dyDescent="0.25">
      <c r="A90" s="222">
        <f t="shared" si="2"/>
        <v>26</v>
      </c>
      <c r="B90" s="18" t="s">
        <v>48</v>
      </c>
      <c r="C90" s="20"/>
      <c r="D90" s="20"/>
      <c r="E90" s="59">
        <v>0</v>
      </c>
      <c r="F90" s="249">
        <f t="shared" si="3"/>
        <v>0</v>
      </c>
      <c r="G90" s="81"/>
    </row>
    <row r="91" spans="1:13" ht="29.25" x14ac:dyDescent="0.25">
      <c r="A91" s="222">
        <f t="shared" si="2"/>
        <v>27</v>
      </c>
      <c r="B91" s="17" t="s">
        <v>49</v>
      </c>
      <c r="C91" s="222" t="s">
        <v>64</v>
      </c>
      <c r="D91" s="31">
        <v>1</v>
      </c>
      <c r="E91" s="59">
        <v>605480</v>
      </c>
      <c r="F91" s="249">
        <f t="shared" si="3"/>
        <v>605480</v>
      </c>
      <c r="G91" s="81"/>
    </row>
    <row r="92" spans="1:13" ht="29.25" x14ac:dyDescent="0.25">
      <c r="A92" s="222">
        <f t="shared" si="2"/>
        <v>28</v>
      </c>
      <c r="B92" s="17" t="s">
        <v>50</v>
      </c>
      <c r="C92" s="222" t="s">
        <v>64</v>
      </c>
      <c r="D92" s="31">
        <v>22</v>
      </c>
      <c r="E92" s="59">
        <v>822268</v>
      </c>
      <c r="F92" s="249">
        <f t="shared" si="3"/>
        <v>18089896</v>
      </c>
      <c r="G92" s="81"/>
    </row>
    <row r="93" spans="1:13" x14ac:dyDescent="0.25">
      <c r="A93" s="222">
        <f t="shared" si="2"/>
        <v>29</v>
      </c>
      <c r="B93" s="18" t="s">
        <v>51</v>
      </c>
      <c r="C93" s="20"/>
      <c r="D93" s="20"/>
      <c r="E93" s="59">
        <v>0</v>
      </c>
      <c r="F93" s="249">
        <f t="shared" si="3"/>
        <v>0</v>
      </c>
      <c r="G93" s="81"/>
      <c r="K93" s="53"/>
      <c r="M93" s="32"/>
    </row>
    <row r="94" spans="1:13" x14ac:dyDescent="0.25">
      <c r="A94" s="222">
        <f t="shared" si="2"/>
        <v>30</v>
      </c>
      <c r="B94" s="55" t="s">
        <v>52</v>
      </c>
      <c r="C94" s="222" t="s">
        <v>53</v>
      </c>
      <c r="D94" s="31">
        <v>60</v>
      </c>
      <c r="E94" s="59">
        <v>5922</v>
      </c>
      <c r="F94" s="249">
        <f t="shared" si="3"/>
        <v>355320</v>
      </c>
      <c r="G94" s="81"/>
    </row>
    <row r="95" spans="1:13" x14ac:dyDescent="0.25">
      <c r="A95" s="219"/>
      <c r="B95" s="18" t="s">
        <v>56</v>
      </c>
      <c r="C95" s="54"/>
      <c r="D95" s="130"/>
      <c r="E95" s="28"/>
      <c r="F95" s="28">
        <f>ROUND(F94+F93+F92+F91+F90+F89+F88+F87+F86+F85+F84+F83+F82+F81+F79+F78+F80+F77++++F76+F75+F74+F73+F72+F71+F70+F69+F68+F67++F66,0)</f>
        <v>63348658</v>
      </c>
      <c r="G95" s="81"/>
    </row>
    <row r="96" spans="1:13" x14ac:dyDescent="0.25">
      <c r="A96" s="19"/>
      <c r="B96" s="19" t="s">
        <v>60</v>
      </c>
      <c r="C96" s="19"/>
      <c r="D96" s="19"/>
      <c r="E96" s="19"/>
      <c r="F96" s="29">
        <f>ROUND(F95/1.3495,0)</f>
        <v>46942318</v>
      </c>
      <c r="G96" s="81"/>
    </row>
    <row r="97" spans="1:11" x14ac:dyDescent="0.25">
      <c r="A97" s="19"/>
      <c r="B97" s="19" t="s">
        <v>61</v>
      </c>
      <c r="C97" s="131">
        <v>0.24</v>
      </c>
      <c r="D97" s="19"/>
      <c r="E97" s="19"/>
      <c r="F97" s="29">
        <f>ROUND(F96*C97,0)</f>
        <v>11266156</v>
      </c>
      <c r="G97" s="81"/>
    </row>
    <row r="98" spans="1:11" x14ac:dyDescent="0.25">
      <c r="A98" s="19"/>
      <c r="B98" s="19" t="s">
        <v>57</v>
      </c>
      <c r="C98" s="131">
        <v>0.05</v>
      </c>
      <c r="D98" s="19"/>
      <c r="E98" s="19"/>
      <c r="F98" s="29">
        <f>ROUND(F96*C98,0)</f>
        <v>2347116</v>
      </c>
      <c r="G98" s="81"/>
    </row>
    <row r="99" spans="1:11" x14ac:dyDescent="0.25">
      <c r="A99" s="19"/>
      <c r="B99" s="19" t="s">
        <v>62</v>
      </c>
      <c r="C99" s="131">
        <v>0.05</v>
      </c>
      <c r="D99" s="19"/>
      <c r="E99" s="19"/>
      <c r="F99" s="29">
        <f>ROUND(F96*C99,0)</f>
        <v>2347116</v>
      </c>
      <c r="G99" s="81"/>
    </row>
    <row r="100" spans="1:11" x14ac:dyDescent="0.25">
      <c r="A100" s="19"/>
      <c r="B100" s="132" t="s">
        <v>63</v>
      </c>
      <c r="C100" s="133">
        <v>0.19</v>
      </c>
      <c r="D100" s="120"/>
      <c r="E100" s="120"/>
      <c r="F100" s="35">
        <f>ROUND(F99*19%,0)</f>
        <v>445952</v>
      </c>
      <c r="G100" s="81"/>
    </row>
    <row r="101" spans="1:11" x14ac:dyDescent="0.25">
      <c r="A101" s="19"/>
      <c r="B101" s="18" t="s">
        <v>56</v>
      </c>
      <c r="C101" s="19"/>
      <c r="D101" s="19"/>
      <c r="E101" s="19"/>
      <c r="F101" s="30">
        <f>SUM(F96:F100)</f>
        <v>63348658</v>
      </c>
      <c r="G101" s="81"/>
    </row>
    <row r="102" spans="1:11" x14ac:dyDescent="0.25">
      <c r="A102" s="81"/>
      <c r="B102" s="81"/>
      <c r="C102" s="81"/>
      <c r="D102" s="81"/>
      <c r="E102" s="81"/>
      <c r="F102" s="81"/>
      <c r="G102" s="81"/>
    </row>
    <row r="103" spans="1:11" x14ac:dyDescent="0.25">
      <c r="A103" s="422" t="s">
        <v>335</v>
      </c>
      <c r="B103" s="422"/>
      <c r="C103" s="422"/>
      <c r="D103" s="422"/>
      <c r="E103" s="422"/>
      <c r="F103" s="422"/>
      <c r="G103" s="81"/>
    </row>
    <row r="104" spans="1:11" x14ac:dyDescent="0.25">
      <c r="A104" s="420" t="s">
        <v>10</v>
      </c>
      <c r="B104" s="420" t="s">
        <v>0</v>
      </c>
      <c r="C104" s="420" t="s">
        <v>11</v>
      </c>
      <c r="D104" s="420" t="s">
        <v>12</v>
      </c>
      <c r="E104" s="420"/>
      <c r="F104" s="420"/>
      <c r="G104" s="81"/>
    </row>
    <row r="105" spans="1:11" x14ac:dyDescent="0.25">
      <c r="A105" s="420"/>
      <c r="B105" s="420"/>
      <c r="C105" s="420"/>
      <c r="D105" s="54" t="s">
        <v>13</v>
      </c>
      <c r="E105" s="54" t="s">
        <v>14</v>
      </c>
      <c r="F105" s="54" t="s">
        <v>15</v>
      </c>
      <c r="G105" s="81"/>
    </row>
    <row r="106" spans="1:11" x14ac:dyDescent="0.25">
      <c r="A106" s="222">
        <f t="shared" ref="A106:A129" si="4">A105+1</f>
        <v>1</v>
      </c>
      <c r="B106" s="18" t="s">
        <v>16</v>
      </c>
      <c r="C106" s="420"/>
      <c r="D106" s="420"/>
      <c r="E106" s="420"/>
      <c r="F106" s="20"/>
      <c r="G106" s="81"/>
    </row>
    <row r="107" spans="1:11" ht="29.25" x14ac:dyDescent="0.25">
      <c r="A107" s="222">
        <f t="shared" si="4"/>
        <v>2</v>
      </c>
      <c r="B107" s="17" t="s">
        <v>77</v>
      </c>
      <c r="C107" s="286" t="s">
        <v>18</v>
      </c>
      <c r="D107" s="61">
        <v>102</v>
      </c>
      <c r="E107" s="243">
        <v>5230</v>
      </c>
      <c r="F107" s="249">
        <f t="shared" ref="F107:F129" si="5">ROUND(D107*E107,0)</f>
        <v>533460</v>
      </c>
      <c r="G107" s="81"/>
    </row>
    <row r="108" spans="1:11" x14ac:dyDescent="0.25">
      <c r="A108" s="222">
        <f>A107+1</f>
        <v>3</v>
      </c>
      <c r="B108" s="55" t="s">
        <v>22</v>
      </c>
      <c r="C108" s="286" t="s">
        <v>23</v>
      </c>
      <c r="D108" s="61">
        <v>2</v>
      </c>
      <c r="E108" s="243">
        <v>155814</v>
      </c>
      <c r="F108" s="249">
        <f t="shared" si="5"/>
        <v>311628</v>
      </c>
      <c r="G108" s="81"/>
      <c r="K108" s="53"/>
    </row>
    <row r="109" spans="1:11" x14ac:dyDescent="0.25">
      <c r="A109" s="222">
        <f t="shared" si="4"/>
        <v>4</v>
      </c>
      <c r="B109" s="18" t="s">
        <v>25</v>
      </c>
      <c r="C109" s="20"/>
      <c r="D109" s="20"/>
      <c r="E109" s="243">
        <v>0</v>
      </c>
      <c r="F109" s="249">
        <f t="shared" si="5"/>
        <v>0</v>
      </c>
      <c r="G109" s="81"/>
    </row>
    <row r="110" spans="1:11" x14ac:dyDescent="0.25">
      <c r="A110" s="222">
        <f t="shared" si="4"/>
        <v>5</v>
      </c>
      <c r="B110" s="56" t="s">
        <v>26</v>
      </c>
      <c r="C110" s="286" t="s">
        <v>18</v>
      </c>
      <c r="D110" s="61">
        <v>404</v>
      </c>
      <c r="E110" s="243">
        <v>7652</v>
      </c>
      <c r="F110" s="249">
        <f t="shared" si="5"/>
        <v>3091408</v>
      </c>
      <c r="G110" s="81"/>
    </row>
    <row r="111" spans="1:11" ht="43.5" x14ac:dyDescent="0.25">
      <c r="A111" s="222">
        <f t="shared" si="4"/>
        <v>6</v>
      </c>
      <c r="B111" s="17" t="s">
        <v>78</v>
      </c>
      <c r="C111" s="286" t="s">
        <v>64</v>
      </c>
      <c r="D111" s="61">
        <v>14</v>
      </c>
      <c r="E111" s="243">
        <v>83560</v>
      </c>
      <c r="F111" s="249">
        <f t="shared" si="5"/>
        <v>1169840</v>
      </c>
      <c r="G111" s="81"/>
    </row>
    <row r="112" spans="1:11" x14ac:dyDescent="0.25">
      <c r="A112" s="222">
        <f t="shared" si="4"/>
        <v>7</v>
      </c>
      <c r="B112" s="18" t="s">
        <v>28</v>
      </c>
      <c r="C112" s="20"/>
      <c r="D112" s="20"/>
      <c r="E112" s="243">
        <v>0</v>
      </c>
      <c r="F112" s="249">
        <f t="shared" si="5"/>
        <v>0</v>
      </c>
      <c r="G112" s="81"/>
    </row>
    <row r="113" spans="1:7" x14ac:dyDescent="0.25">
      <c r="A113" s="222">
        <f t="shared" si="4"/>
        <v>8</v>
      </c>
      <c r="B113" s="55" t="s">
        <v>79</v>
      </c>
      <c r="C113" s="286" t="s">
        <v>64</v>
      </c>
      <c r="D113" s="61">
        <v>66</v>
      </c>
      <c r="E113" s="243">
        <v>26395</v>
      </c>
      <c r="F113" s="249">
        <f t="shared" si="5"/>
        <v>1742070</v>
      </c>
      <c r="G113" s="81"/>
    </row>
    <row r="114" spans="1:7" ht="29.25" x14ac:dyDescent="0.25">
      <c r="A114" s="222">
        <f t="shared" si="4"/>
        <v>9</v>
      </c>
      <c r="B114" s="17" t="s">
        <v>32</v>
      </c>
      <c r="C114" s="286" t="s">
        <v>64</v>
      </c>
      <c r="D114" s="61">
        <v>46</v>
      </c>
      <c r="E114" s="243">
        <v>32848</v>
      </c>
      <c r="F114" s="249">
        <f t="shared" si="5"/>
        <v>1511008</v>
      </c>
      <c r="G114" s="81"/>
    </row>
    <row r="115" spans="1:7" x14ac:dyDescent="0.25">
      <c r="A115" s="222">
        <f t="shared" si="4"/>
        <v>10</v>
      </c>
      <c r="B115" s="18" t="s">
        <v>80</v>
      </c>
      <c r="C115" s="20"/>
      <c r="D115" s="20"/>
      <c r="E115" s="243">
        <v>0</v>
      </c>
      <c r="F115" s="249">
        <f t="shared" si="5"/>
        <v>0</v>
      </c>
      <c r="G115" s="81"/>
    </row>
    <row r="116" spans="1:7" x14ac:dyDescent="0.25">
      <c r="A116" s="222">
        <f t="shared" si="4"/>
        <v>11</v>
      </c>
      <c r="B116" s="55" t="s">
        <v>163</v>
      </c>
      <c r="C116" s="286" t="s">
        <v>18</v>
      </c>
      <c r="D116" s="61">
        <v>102</v>
      </c>
      <c r="E116" s="243">
        <v>5945</v>
      </c>
      <c r="F116" s="249">
        <f t="shared" si="5"/>
        <v>606390</v>
      </c>
      <c r="G116" s="81"/>
    </row>
    <row r="117" spans="1:7" ht="43.5" x14ac:dyDescent="0.25">
      <c r="A117" s="222">
        <f t="shared" si="4"/>
        <v>12</v>
      </c>
      <c r="B117" s="17" t="s">
        <v>82</v>
      </c>
      <c r="C117" s="286" t="s">
        <v>37</v>
      </c>
      <c r="D117" s="61">
        <v>25</v>
      </c>
      <c r="E117" s="243">
        <v>42039</v>
      </c>
      <c r="F117" s="249">
        <f t="shared" si="5"/>
        <v>1050975</v>
      </c>
      <c r="G117" s="81"/>
    </row>
    <row r="118" spans="1:7" x14ac:dyDescent="0.25">
      <c r="A118" s="222">
        <f t="shared" si="4"/>
        <v>13</v>
      </c>
      <c r="B118" s="57" t="s">
        <v>83</v>
      </c>
      <c r="C118" s="286" t="s">
        <v>37</v>
      </c>
      <c r="D118" s="61">
        <v>1</v>
      </c>
      <c r="E118" s="243">
        <v>210191</v>
      </c>
      <c r="F118" s="249">
        <f t="shared" si="5"/>
        <v>210191</v>
      </c>
      <c r="G118" s="81"/>
    </row>
    <row r="119" spans="1:7" ht="43.5" x14ac:dyDescent="0.25">
      <c r="A119" s="222">
        <f t="shared" si="4"/>
        <v>14</v>
      </c>
      <c r="B119" s="17" t="s">
        <v>159</v>
      </c>
      <c r="C119" s="286" t="s">
        <v>37</v>
      </c>
      <c r="D119" s="61">
        <v>1</v>
      </c>
      <c r="E119" s="243">
        <v>345600</v>
      </c>
      <c r="F119" s="249">
        <f t="shared" si="5"/>
        <v>345600</v>
      </c>
      <c r="G119" s="81"/>
    </row>
    <row r="120" spans="1:7" x14ac:dyDescent="0.25">
      <c r="A120" s="222">
        <f t="shared" si="4"/>
        <v>15</v>
      </c>
      <c r="B120" s="55" t="s">
        <v>85</v>
      </c>
      <c r="C120" s="286" t="s">
        <v>23</v>
      </c>
      <c r="D120" s="61">
        <v>2</v>
      </c>
      <c r="E120" s="243">
        <v>90583</v>
      </c>
      <c r="F120" s="249">
        <f t="shared" si="5"/>
        <v>181166</v>
      </c>
      <c r="G120" s="81"/>
    </row>
    <row r="121" spans="1:7" x14ac:dyDescent="0.25">
      <c r="A121" s="222">
        <f t="shared" si="4"/>
        <v>16</v>
      </c>
      <c r="B121" s="18" t="s">
        <v>43</v>
      </c>
      <c r="C121" s="20"/>
      <c r="D121" s="20"/>
      <c r="E121" s="243">
        <v>0</v>
      </c>
      <c r="F121" s="249">
        <f t="shared" si="5"/>
        <v>0</v>
      </c>
      <c r="G121" s="81"/>
    </row>
    <row r="122" spans="1:7" x14ac:dyDescent="0.25">
      <c r="A122" s="222">
        <f t="shared" si="4"/>
        <v>17</v>
      </c>
      <c r="B122" s="55" t="s">
        <v>44</v>
      </c>
      <c r="C122" s="286" t="s">
        <v>64</v>
      </c>
      <c r="D122" s="61">
        <v>9</v>
      </c>
      <c r="E122" s="243">
        <v>121019</v>
      </c>
      <c r="F122" s="249">
        <f t="shared" si="5"/>
        <v>1089171</v>
      </c>
      <c r="G122" s="81"/>
    </row>
    <row r="123" spans="1:7" x14ac:dyDescent="0.25">
      <c r="A123" s="222">
        <f t="shared" si="4"/>
        <v>18</v>
      </c>
      <c r="B123" s="55" t="s">
        <v>45</v>
      </c>
      <c r="C123" s="286" t="s">
        <v>64</v>
      </c>
      <c r="D123" s="61">
        <v>36</v>
      </c>
      <c r="E123" s="243">
        <v>22197</v>
      </c>
      <c r="F123" s="249">
        <f t="shared" si="5"/>
        <v>799092</v>
      </c>
      <c r="G123" s="81"/>
    </row>
    <row r="124" spans="1:7" x14ac:dyDescent="0.25">
      <c r="A124" s="222">
        <f t="shared" si="4"/>
        <v>19</v>
      </c>
      <c r="B124" s="55" t="s">
        <v>273</v>
      </c>
      <c r="C124" s="286" t="s">
        <v>64</v>
      </c>
      <c r="D124" s="61">
        <v>20</v>
      </c>
      <c r="E124" s="243">
        <v>145281</v>
      </c>
      <c r="F124" s="249">
        <f t="shared" si="5"/>
        <v>2905620</v>
      </c>
      <c r="G124" s="81"/>
    </row>
    <row r="125" spans="1:7" x14ac:dyDescent="0.25">
      <c r="A125" s="222">
        <f t="shared" si="4"/>
        <v>20</v>
      </c>
      <c r="B125" s="18" t="s">
        <v>48</v>
      </c>
      <c r="C125" s="20"/>
      <c r="D125" s="20"/>
      <c r="E125" s="243">
        <v>0</v>
      </c>
      <c r="F125" s="249">
        <f t="shared" si="5"/>
        <v>0</v>
      </c>
      <c r="G125" s="81"/>
    </row>
    <row r="126" spans="1:7" ht="29.25" x14ac:dyDescent="0.25">
      <c r="A126" s="222">
        <f t="shared" si="4"/>
        <v>21</v>
      </c>
      <c r="B126" s="17" t="s">
        <v>86</v>
      </c>
      <c r="C126" s="286" t="s">
        <v>64</v>
      </c>
      <c r="D126" s="61">
        <v>0.5</v>
      </c>
      <c r="E126" s="243">
        <v>607296</v>
      </c>
      <c r="F126" s="249">
        <f t="shared" si="5"/>
        <v>303648</v>
      </c>
      <c r="G126" s="81"/>
    </row>
    <row r="127" spans="1:7" ht="29.25" x14ac:dyDescent="0.25">
      <c r="A127" s="222">
        <f t="shared" si="4"/>
        <v>22</v>
      </c>
      <c r="B127" s="17" t="s">
        <v>50</v>
      </c>
      <c r="C127" s="286" t="s">
        <v>64</v>
      </c>
      <c r="D127" s="61">
        <v>15</v>
      </c>
      <c r="E127" s="243">
        <v>824735</v>
      </c>
      <c r="F127" s="249">
        <f t="shared" si="5"/>
        <v>12371025</v>
      </c>
      <c r="G127" s="81"/>
    </row>
    <row r="128" spans="1:7" x14ac:dyDescent="0.25">
      <c r="A128" s="222">
        <f t="shared" si="4"/>
        <v>23</v>
      </c>
      <c r="B128" s="18" t="s">
        <v>51</v>
      </c>
      <c r="C128" s="20"/>
      <c r="D128" s="20"/>
      <c r="E128" s="243">
        <v>0</v>
      </c>
      <c r="F128" s="249">
        <f t="shared" si="5"/>
        <v>0</v>
      </c>
      <c r="G128" s="81"/>
    </row>
    <row r="129" spans="1:13" x14ac:dyDescent="0.25">
      <c r="A129" s="222">
        <f t="shared" si="4"/>
        <v>24</v>
      </c>
      <c r="B129" s="55" t="s">
        <v>88</v>
      </c>
      <c r="C129" s="286" t="s">
        <v>53</v>
      </c>
      <c r="D129" s="61">
        <v>30</v>
      </c>
      <c r="E129" s="243">
        <v>5922</v>
      </c>
      <c r="F129" s="249">
        <f t="shared" si="5"/>
        <v>177660</v>
      </c>
      <c r="G129" s="81"/>
      <c r="K129" s="53"/>
      <c r="M129" s="3"/>
    </row>
    <row r="130" spans="1:13" x14ac:dyDescent="0.25">
      <c r="A130" s="219"/>
      <c r="B130" s="18" t="s">
        <v>56</v>
      </c>
      <c r="C130" s="54"/>
      <c r="D130" s="130"/>
      <c r="E130" s="28"/>
      <c r="F130" s="28">
        <f>ROUND((F129+F128+F127+F126+F125+F124+F123+F122+F121+F120+F119+F118+F107+F108+F109+F110+F111+F112+F114+F113+F115+F116+F117),0)</f>
        <v>28399952</v>
      </c>
      <c r="G130" s="81"/>
    </row>
    <row r="131" spans="1:13" x14ac:dyDescent="0.25">
      <c r="A131" s="19"/>
      <c r="B131" s="19" t="s">
        <v>60</v>
      </c>
      <c r="C131" s="19"/>
      <c r="D131" s="19"/>
      <c r="E131" s="19"/>
      <c r="F131" s="29">
        <f>ROUND(F130/1.3495,0)</f>
        <v>21044796</v>
      </c>
      <c r="G131" s="81"/>
    </row>
    <row r="132" spans="1:13" x14ac:dyDescent="0.25">
      <c r="A132" s="19"/>
      <c r="B132" s="19" t="s">
        <v>61</v>
      </c>
      <c r="C132" s="131">
        <v>0.24</v>
      </c>
      <c r="D132" s="19"/>
      <c r="E132" s="19"/>
      <c r="F132" s="29">
        <f>ROUND(F131*C132,0)</f>
        <v>5050751</v>
      </c>
      <c r="G132" s="81"/>
    </row>
    <row r="133" spans="1:13" x14ac:dyDescent="0.25">
      <c r="A133" s="19"/>
      <c r="B133" s="19" t="s">
        <v>57</v>
      </c>
      <c r="C133" s="131">
        <v>0.05</v>
      </c>
      <c r="D133" s="19"/>
      <c r="E133" s="19"/>
      <c r="F133" s="29">
        <f>ROUND(F131*C133,0)</f>
        <v>1052240</v>
      </c>
      <c r="G133" s="81"/>
    </row>
    <row r="134" spans="1:13" x14ac:dyDescent="0.25">
      <c r="A134" s="19"/>
      <c r="B134" s="19" t="s">
        <v>62</v>
      </c>
      <c r="C134" s="131">
        <v>0.05</v>
      </c>
      <c r="D134" s="19"/>
      <c r="E134" s="19"/>
      <c r="F134" s="29">
        <f>ROUND(F131*C134,0)</f>
        <v>1052240</v>
      </c>
      <c r="G134" s="81"/>
    </row>
    <row r="135" spans="1:13" x14ac:dyDescent="0.25">
      <c r="A135" s="19"/>
      <c r="B135" s="132" t="s">
        <v>63</v>
      </c>
      <c r="C135" s="133">
        <v>0.19</v>
      </c>
      <c r="D135" s="120"/>
      <c r="E135" s="120"/>
      <c r="F135" s="35">
        <f>ROUND(F134*19%,0)</f>
        <v>199926</v>
      </c>
      <c r="G135" s="81"/>
    </row>
    <row r="136" spans="1:13" x14ac:dyDescent="0.25">
      <c r="A136" s="19"/>
      <c r="B136" s="18" t="s">
        <v>56</v>
      </c>
      <c r="C136" s="19"/>
      <c r="D136" s="19"/>
      <c r="E136" s="19"/>
      <c r="F136" s="30">
        <f>SUM(F131:F135)</f>
        <v>28399953</v>
      </c>
      <c r="G136" s="81"/>
    </row>
    <row r="137" spans="1:13" x14ac:dyDescent="0.25">
      <c r="A137" s="81"/>
      <c r="B137" s="81"/>
      <c r="C137" s="81"/>
      <c r="D137" s="81"/>
      <c r="E137" s="81"/>
      <c r="F137" s="81"/>
      <c r="G137" s="81"/>
    </row>
    <row r="138" spans="1:13" x14ac:dyDescent="0.25">
      <c r="A138" s="422" t="s">
        <v>336</v>
      </c>
      <c r="B138" s="422"/>
      <c r="C138" s="422"/>
      <c r="D138" s="422"/>
      <c r="E138" s="422"/>
      <c r="F138" s="422"/>
      <c r="G138" s="81"/>
    </row>
    <row r="139" spans="1:13" x14ac:dyDescent="0.25">
      <c r="A139" s="420" t="s">
        <v>10</v>
      </c>
      <c r="B139" s="420" t="s">
        <v>0</v>
      </c>
      <c r="C139" s="420" t="s">
        <v>11</v>
      </c>
      <c r="D139" s="420" t="s">
        <v>12</v>
      </c>
      <c r="E139" s="420"/>
      <c r="F139" s="420"/>
      <c r="G139" s="81"/>
    </row>
    <row r="140" spans="1:13" x14ac:dyDescent="0.25">
      <c r="A140" s="420"/>
      <c r="B140" s="420"/>
      <c r="C140" s="420"/>
      <c r="D140" s="54" t="s">
        <v>13</v>
      </c>
      <c r="E140" s="54" t="s">
        <v>14</v>
      </c>
      <c r="F140" s="54" t="s">
        <v>15</v>
      </c>
      <c r="G140" s="81"/>
    </row>
    <row r="141" spans="1:13" x14ac:dyDescent="0.25">
      <c r="A141" s="222">
        <f t="shared" ref="A141:A170" si="6">A140+1</f>
        <v>1</v>
      </c>
      <c r="B141" s="18" t="s">
        <v>16</v>
      </c>
      <c r="C141" s="420"/>
      <c r="D141" s="420"/>
      <c r="E141" s="420"/>
      <c r="F141" s="20"/>
      <c r="G141" s="81"/>
    </row>
    <row r="142" spans="1:13" ht="29.25" x14ac:dyDescent="0.25">
      <c r="A142" s="222">
        <f t="shared" si="6"/>
        <v>2</v>
      </c>
      <c r="B142" s="17" t="s">
        <v>17</v>
      </c>
      <c r="C142" s="222" t="s">
        <v>18</v>
      </c>
      <c r="D142" s="31">
        <v>120</v>
      </c>
      <c r="E142" s="59">
        <v>5214</v>
      </c>
      <c r="F142" s="249">
        <f t="shared" ref="F142:F170" si="7">ROUND(D142*E142,0)</f>
        <v>625680</v>
      </c>
      <c r="G142" s="81"/>
    </row>
    <row r="143" spans="1:13" ht="29.25" x14ac:dyDescent="0.25">
      <c r="A143" s="222">
        <f t="shared" si="6"/>
        <v>3</v>
      </c>
      <c r="B143" s="17" t="s">
        <v>19</v>
      </c>
      <c r="C143" s="222" t="s">
        <v>20</v>
      </c>
      <c r="D143" s="31">
        <v>720</v>
      </c>
      <c r="E143" s="59">
        <v>9047</v>
      </c>
      <c r="F143" s="249">
        <f t="shared" si="7"/>
        <v>6513840</v>
      </c>
      <c r="G143" s="81"/>
    </row>
    <row r="144" spans="1:13" ht="43.5" x14ac:dyDescent="0.25">
      <c r="A144" s="222">
        <f t="shared" si="6"/>
        <v>4</v>
      </c>
      <c r="B144" s="17" t="s">
        <v>21</v>
      </c>
      <c r="C144" s="222" t="s">
        <v>18</v>
      </c>
      <c r="D144" s="31">
        <v>252</v>
      </c>
      <c r="E144" s="59">
        <v>13608</v>
      </c>
      <c r="F144" s="249">
        <f t="shared" si="7"/>
        <v>3429216</v>
      </c>
      <c r="G144" s="81"/>
    </row>
    <row r="145" spans="1:11" x14ac:dyDescent="0.25">
      <c r="A145" s="222">
        <f t="shared" si="6"/>
        <v>5</v>
      </c>
      <c r="B145" s="17" t="s">
        <v>22</v>
      </c>
      <c r="C145" s="222" t="s">
        <v>23</v>
      </c>
      <c r="D145" s="31">
        <v>4</v>
      </c>
      <c r="E145" s="59">
        <v>155349</v>
      </c>
      <c r="F145" s="249">
        <f t="shared" si="7"/>
        <v>621396</v>
      </c>
      <c r="G145" s="81"/>
      <c r="K145" s="53"/>
    </row>
    <row r="146" spans="1:11" x14ac:dyDescent="0.25">
      <c r="A146" s="222">
        <f t="shared" si="6"/>
        <v>6</v>
      </c>
      <c r="B146" s="188" t="s">
        <v>25</v>
      </c>
      <c r="C146" s="20"/>
      <c r="D146" s="20"/>
      <c r="E146" s="59">
        <v>0</v>
      </c>
      <c r="F146" s="249">
        <f t="shared" si="7"/>
        <v>0</v>
      </c>
      <c r="G146" s="81"/>
    </row>
    <row r="147" spans="1:11" x14ac:dyDescent="0.25">
      <c r="A147" s="222">
        <f t="shared" si="6"/>
        <v>7</v>
      </c>
      <c r="B147" s="56" t="s">
        <v>26</v>
      </c>
      <c r="C147" s="222" t="s">
        <v>18</v>
      </c>
      <c r="D147" s="31">
        <v>490</v>
      </c>
      <c r="E147" s="59">
        <v>7630</v>
      </c>
      <c r="F147" s="249">
        <f t="shared" si="7"/>
        <v>3738700</v>
      </c>
      <c r="G147" s="81"/>
    </row>
    <row r="148" spans="1:11" ht="43.5" x14ac:dyDescent="0.25">
      <c r="A148" s="222">
        <f t="shared" si="6"/>
        <v>8</v>
      </c>
      <c r="B148" s="17" t="s">
        <v>27</v>
      </c>
      <c r="C148" s="222" t="s">
        <v>64</v>
      </c>
      <c r="D148" s="31">
        <v>35</v>
      </c>
      <c r="E148" s="59">
        <v>83312</v>
      </c>
      <c r="F148" s="249">
        <f t="shared" si="7"/>
        <v>2915920</v>
      </c>
      <c r="G148" s="81"/>
    </row>
    <row r="149" spans="1:11" x14ac:dyDescent="0.25">
      <c r="A149" s="222">
        <f t="shared" si="6"/>
        <v>9</v>
      </c>
      <c r="B149" s="18" t="s">
        <v>28</v>
      </c>
      <c r="C149" s="20"/>
      <c r="D149" s="20"/>
      <c r="E149" s="59">
        <v>0</v>
      </c>
      <c r="F149" s="249">
        <f t="shared" si="7"/>
        <v>0</v>
      </c>
      <c r="G149" s="81"/>
    </row>
    <row r="150" spans="1:11" x14ac:dyDescent="0.25">
      <c r="A150" s="222">
        <f t="shared" si="6"/>
        <v>10</v>
      </c>
      <c r="B150" s="17" t="s">
        <v>29</v>
      </c>
      <c r="C150" s="222" t="s">
        <v>64</v>
      </c>
      <c r="D150" s="31">
        <v>300</v>
      </c>
      <c r="E150" s="59">
        <v>26317</v>
      </c>
      <c r="F150" s="249">
        <f t="shared" si="7"/>
        <v>7895100</v>
      </c>
      <c r="G150" s="81"/>
    </row>
    <row r="151" spans="1:11" x14ac:dyDescent="0.25">
      <c r="A151" s="222">
        <f t="shared" si="6"/>
        <v>11</v>
      </c>
      <c r="B151" s="17" t="s">
        <v>31</v>
      </c>
      <c r="C151" s="222" t="s">
        <v>18</v>
      </c>
      <c r="D151" s="31">
        <v>10</v>
      </c>
      <c r="E151" s="59">
        <v>31128</v>
      </c>
      <c r="F151" s="249">
        <f t="shared" si="7"/>
        <v>311280</v>
      </c>
      <c r="G151" s="81"/>
    </row>
    <row r="152" spans="1:11" ht="29.25" x14ac:dyDescent="0.25">
      <c r="A152" s="222">
        <f t="shared" si="6"/>
        <v>12</v>
      </c>
      <c r="B152" s="17" t="s">
        <v>32</v>
      </c>
      <c r="C152" s="222" t="s">
        <v>64</v>
      </c>
      <c r="D152" s="31">
        <v>118</v>
      </c>
      <c r="E152" s="59">
        <v>32749</v>
      </c>
      <c r="F152" s="249">
        <f t="shared" si="7"/>
        <v>3864382</v>
      </c>
      <c r="G152" s="81"/>
    </row>
    <row r="153" spans="1:11" ht="30" x14ac:dyDescent="0.25">
      <c r="A153" s="222">
        <f t="shared" si="6"/>
        <v>13</v>
      </c>
      <c r="B153" s="188" t="s">
        <v>33</v>
      </c>
      <c r="C153" s="20"/>
      <c r="D153" s="20"/>
      <c r="E153" s="59">
        <v>0</v>
      </c>
      <c r="F153" s="249">
        <f t="shared" si="7"/>
        <v>0</v>
      </c>
      <c r="G153" s="81"/>
    </row>
    <row r="154" spans="1:11" ht="29.25" x14ac:dyDescent="0.25">
      <c r="A154" s="222">
        <f t="shared" si="6"/>
        <v>14</v>
      </c>
      <c r="B154" s="17" t="s">
        <v>66</v>
      </c>
      <c r="C154" s="222" t="s">
        <v>18</v>
      </c>
      <c r="D154" s="31">
        <v>120</v>
      </c>
      <c r="E154" s="59">
        <v>23781</v>
      </c>
      <c r="F154" s="249">
        <f t="shared" si="7"/>
        <v>2853720</v>
      </c>
      <c r="G154" s="81"/>
    </row>
    <row r="155" spans="1:11" ht="57" x14ac:dyDescent="0.25">
      <c r="A155" s="222">
        <f t="shared" si="6"/>
        <v>15</v>
      </c>
      <c r="B155" s="57" t="s">
        <v>35</v>
      </c>
      <c r="C155" s="222" t="s">
        <v>18</v>
      </c>
      <c r="D155" s="31">
        <v>1</v>
      </c>
      <c r="E155" s="59">
        <v>637411</v>
      </c>
      <c r="F155" s="249">
        <f t="shared" si="7"/>
        <v>637411</v>
      </c>
      <c r="G155" s="81"/>
    </row>
    <row r="156" spans="1:11" ht="43.5" x14ac:dyDescent="0.25">
      <c r="A156" s="222">
        <f t="shared" si="6"/>
        <v>16</v>
      </c>
      <c r="B156" s="17" t="s">
        <v>337</v>
      </c>
      <c r="C156" s="222" t="s">
        <v>37</v>
      </c>
      <c r="D156" s="31">
        <v>2</v>
      </c>
      <c r="E156" s="59">
        <v>918000.00000000012</v>
      </c>
      <c r="F156" s="249">
        <f t="shared" si="7"/>
        <v>1836000</v>
      </c>
      <c r="G156" s="81"/>
    </row>
    <row r="157" spans="1:11" x14ac:dyDescent="0.25">
      <c r="A157" s="222">
        <f t="shared" si="6"/>
        <v>17</v>
      </c>
      <c r="B157" s="17" t="s">
        <v>38</v>
      </c>
      <c r="C157" s="222" t="s">
        <v>37</v>
      </c>
      <c r="D157" s="31">
        <v>4</v>
      </c>
      <c r="E157" s="59">
        <v>540447</v>
      </c>
      <c r="F157" s="249">
        <f t="shared" si="7"/>
        <v>2161788</v>
      </c>
      <c r="G157" s="81"/>
    </row>
    <row r="158" spans="1:11" ht="43.5" x14ac:dyDescent="0.25">
      <c r="A158" s="222">
        <f t="shared" si="6"/>
        <v>18</v>
      </c>
      <c r="B158" s="17" t="s">
        <v>39</v>
      </c>
      <c r="C158" s="222" t="s">
        <v>18</v>
      </c>
      <c r="D158" s="31">
        <f>21*6</f>
        <v>126</v>
      </c>
      <c r="E158" s="59">
        <v>13802</v>
      </c>
      <c r="F158" s="249">
        <f t="shared" si="7"/>
        <v>1739052</v>
      </c>
      <c r="G158" s="81"/>
    </row>
    <row r="159" spans="1:11" ht="43.5" x14ac:dyDescent="0.25">
      <c r="A159" s="222">
        <f t="shared" si="6"/>
        <v>19</v>
      </c>
      <c r="B159" s="17" t="s">
        <v>40</v>
      </c>
      <c r="C159" s="222" t="s">
        <v>23</v>
      </c>
      <c r="D159" s="31">
        <v>25</v>
      </c>
      <c r="E159" s="59">
        <v>399818</v>
      </c>
      <c r="F159" s="249">
        <f t="shared" si="7"/>
        <v>9995450</v>
      </c>
      <c r="G159" s="81"/>
    </row>
    <row r="160" spans="1:11" x14ac:dyDescent="0.25">
      <c r="A160" s="222">
        <f t="shared" si="6"/>
        <v>20</v>
      </c>
      <c r="B160" s="17" t="s">
        <v>67</v>
      </c>
      <c r="C160" s="222" t="s">
        <v>23</v>
      </c>
      <c r="D160" s="31">
        <v>25</v>
      </c>
      <c r="E160" s="59">
        <v>43482</v>
      </c>
      <c r="F160" s="249">
        <f t="shared" si="7"/>
        <v>1087050</v>
      </c>
      <c r="G160" s="81"/>
    </row>
    <row r="161" spans="1:13" x14ac:dyDescent="0.25">
      <c r="A161" s="222">
        <f t="shared" si="6"/>
        <v>21</v>
      </c>
      <c r="B161" s="17" t="s">
        <v>42</v>
      </c>
      <c r="C161" s="222" t="s">
        <v>23</v>
      </c>
      <c r="D161" s="31">
        <v>6</v>
      </c>
      <c r="E161" s="59">
        <v>90312</v>
      </c>
      <c r="F161" s="249">
        <f t="shared" si="7"/>
        <v>541872</v>
      </c>
      <c r="G161" s="81"/>
    </row>
    <row r="162" spans="1:13" x14ac:dyDescent="0.25">
      <c r="A162" s="222">
        <f t="shared" si="6"/>
        <v>22</v>
      </c>
      <c r="B162" s="188" t="s">
        <v>43</v>
      </c>
      <c r="C162" s="20"/>
      <c r="D162" s="20"/>
      <c r="E162" s="59">
        <v>0</v>
      </c>
      <c r="F162" s="249">
        <f t="shared" si="7"/>
        <v>0</v>
      </c>
      <c r="G162" s="81"/>
    </row>
    <row r="163" spans="1:13" x14ac:dyDescent="0.25">
      <c r="A163" s="222">
        <f t="shared" si="6"/>
        <v>23</v>
      </c>
      <c r="B163" s="17" t="s">
        <v>44</v>
      </c>
      <c r="C163" s="222" t="s">
        <v>64</v>
      </c>
      <c r="D163" s="31">
        <v>22</v>
      </c>
      <c r="E163" s="59">
        <v>120657</v>
      </c>
      <c r="F163" s="249">
        <f t="shared" si="7"/>
        <v>2654454</v>
      </c>
      <c r="G163" s="81"/>
    </row>
    <row r="164" spans="1:13" ht="29.25" x14ac:dyDescent="0.25">
      <c r="A164" s="222">
        <f t="shared" si="6"/>
        <v>24</v>
      </c>
      <c r="B164" s="17" t="s">
        <v>45</v>
      </c>
      <c r="C164" s="222" t="s">
        <v>64</v>
      </c>
      <c r="D164" s="31">
        <v>216</v>
      </c>
      <c r="E164" s="59">
        <v>22131</v>
      </c>
      <c r="F164" s="249">
        <f t="shared" si="7"/>
        <v>4780296</v>
      </c>
      <c r="G164" s="81"/>
    </row>
    <row r="165" spans="1:13" x14ac:dyDescent="0.25">
      <c r="A165" s="222">
        <f t="shared" si="6"/>
        <v>25</v>
      </c>
      <c r="B165" s="17" t="s">
        <v>46</v>
      </c>
      <c r="C165" s="222" t="s">
        <v>64</v>
      </c>
      <c r="D165" s="31">
        <v>48</v>
      </c>
      <c r="E165" s="59">
        <v>144847</v>
      </c>
      <c r="F165" s="249">
        <f t="shared" si="7"/>
        <v>6952656</v>
      </c>
      <c r="G165" s="81"/>
    </row>
    <row r="166" spans="1:13" x14ac:dyDescent="0.25">
      <c r="A166" s="222">
        <f t="shared" si="6"/>
        <v>26</v>
      </c>
      <c r="B166" s="188" t="s">
        <v>48</v>
      </c>
      <c r="C166" s="20"/>
      <c r="D166" s="20"/>
      <c r="E166" s="59">
        <v>0</v>
      </c>
      <c r="F166" s="249">
        <f t="shared" si="7"/>
        <v>0</v>
      </c>
      <c r="G166" s="81"/>
    </row>
    <row r="167" spans="1:13" ht="29.25" x14ac:dyDescent="0.25">
      <c r="A167" s="222">
        <f t="shared" si="6"/>
        <v>27</v>
      </c>
      <c r="B167" s="17" t="s">
        <v>49</v>
      </c>
      <c r="C167" s="222" t="s">
        <v>64</v>
      </c>
      <c r="D167" s="31">
        <v>1</v>
      </c>
      <c r="E167" s="59">
        <v>605480</v>
      </c>
      <c r="F167" s="249">
        <f t="shared" si="7"/>
        <v>605480</v>
      </c>
      <c r="G167" s="81"/>
    </row>
    <row r="168" spans="1:13" ht="29.25" x14ac:dyDescent="0.25">
      <c r="A168" s="222">
        <f t="shared" si="6"/>
        <v>28</v>
      </c>
      <c r="B168" s="17" t="s">
        <v>50</v>
      </c>
      <c r="C168" s="222" t="s">
        <v>64</v>
      </c>
      <c r="D168" s="31">
        <v>35</v>
      </c>
      <c r="E168" s="59">
        <v>822268</v>
      </c>
      <c r="F168" s="249">
        <f t="shared" si="7"/>
        <v>28779380</v>
      </c>
      <c r="G168" s="81"/>
    </row>
    <row r="169" spans="1:13" x14ac:dyDescent="0.25">
      <c r="A169" s="222">
        <f t="shared" si="6"/>
        <v>29</v>
      </c>
      <c r="B169" s="188" t="s">
        <v>51</v>
      </c>
      <c r="C169" s="20"/>
      <c r="D169" s="20"/>
      <c r="E169" s="59">
        <v>0</v>
      </c>
      <c r="F169" s="249">
        <f t="shared" si="7"/>
        <v>0</v>
      </c>
      <c r="G169" s="81"/>
    </row>
    <row r="170" spans="1:13" x14ac:dyDescent="0.25">
      <c r="A170" s="222">
        <f t="shared" si="6"/>
        <v>30</v>
      </c>
      <c r="B170" s="17" t="s">
        <v>52</v>
      </c>
      <c r="C170" s="222" t="s">
        <v>53</v>
      </c>
      <c r="D170" s="31">
        <v>30</v>
      </c>
      <c r="E170" s="59">
        <v>5922</v>
      </c>
      <c r="F170" s="249">
        <f t="shared" si="7"/>
        <v>177660</v>
      </c>
      <c r="G170" s="81"/>
      <c r="K170" s="53"/>
      <c r="M170" s="32"/>
    </row>
    <row r="171" spans="1:13" x14ac:dyDescent="0.25">
      <c r="A171" s="219"/>
      <c r="B171" s="18" t="s">
        <v>56</v>
      </c>
      <c r="C171" s="54"/>
      <c r="D171" s="130"/>
      <c r="E171" s="28"/>
      <c r="F171" s="28">
        <f>ROUND((F170+F169+F168+F167+F166+F165+F164+F163+F162+F161+F160+F159+F142+F143+F146+F147+F148+F149+F150+F151+F152+F153+F155+F154+F156+F157+F158+F144+F145),0)</f>
        <v>94717783</v>
      </c>
      <c r="G171" s="81"/>
    </row>
    <row r="172" spans="1:13" x14ac:dyDescent="0.25">
      <c r="A172" s="19"/>
      <c r="B172" s="19" t="s">
        <v>60</v>
      </c>
      <c r="C172" s="19"/>
      <c r="D172" s="19"/>
      <c r="E172" s="19"/>
      <c r="F172" s="29">
        <f>ROUND(F171/1.3495,0)</f>
        <v>70187316</v>
      </c>
      <c r="G172" s="81"/>
    </row>
    <row r="173" spans="1:13" x14ac:dyDescent="0.25">
      <c r="A173" s="19"/>
      <c r="B173" s="19" t="s">
        <v>61</v>
      </c>
      <c r="C173" s="131">
        <v>0.24</v>
      </c>
      <c r="D173" s="19"/>
      <c r="E173" s="19"/>
      <c r="F173" s="29">
        <f>ROUND(F172*C173,0)</f>
        <v>16844956</v>
      </c>
      <c r="G173" s="81"/>
    </row>
    <row r="174" spans="1:13" x14ac:dyDescent="0.25">
      <c r="A174" s="19"/>
      <c r="B174" s="19" t="s">
        <v>57</v>
      </c>
      <c r="C174" s="131">
        <v>0.05</v>
      </c>
      <c r="D174" s="19"/>
      <c r="E174" s="19"/>
      <c r="F174" s="29">
        <f>ROUND(F172*C174,0)</f>
        <v>3509366</v>
      </c>
      <c r="G174" s="81"/>
    </row>
    <row r="175" spans="1:13" x14ac:dyDescent="0.25">
      <c r="A175" s="19"/>
      <c r="B175" s="19" t="s">
        <v>62</v>
      </c>
      <c r="C175" s="131">
        <v>0.05</v>
      </c>
      <c r="D175" s="19"/>
      <c r="E175" s="19"/>
      <c r="F175" s="29">
        <f>ROUND(F172*C175,0)</f>
        <v>3509366</v>
      </c>
      <c r="G175" s="81"/>
    </row>
    <row r="176" spans="1:13" x14ac:dyDescent="0.25">
      <c r="A176" s="19"/>
      <c r="B176" s="132" t="s">
        <v>63</v>
      </c>
      <c r="C176" s="133">
        <v>0.19</v>
      </c>
      <c r="D176" s="120"/>
      <c r="E176" s="120"/>
      <c r="F176" s="35">
        <f>ROUND(F175*19%,0)</f>
        <v>666780</v>
      </c>
      <c r="G176" s="81"/>
    </row>
    <row r="177" spans="1:9" x14ac:dyDescent="0.25">
      <c r="A177" s="19"/>
      <c r="B177" s="18" t="s">
        <v>56</v>
      </c>
      <c r="C177" s="19"/>
      <c r="D177" s="19"/>
      <c r="E177" s="19"/>
      <c r="F177" s="30">
        <f>SUM(F172:F176)</f>
        <v>94717784</v>
      </c>
      <c r="G177" s="81"/>
    </row>
    <row r="178" spans="1:9" x14ac:dyDescent="0.25">
      <c r="A178" s="81"/>
      <c r="B178" s="81"/>
      <c r="C178" s="81"/>
      <c r="D178" s="81"/>
      <c r="E178" s="81"/>
      <c r="F178" s="81"/>
      <c r="G178" s="81"/>
    </row>
    <row r="179" spans="1:9" ht="35.25" customHeight="1" x14ac:dyDescent="0.25">
      <c r="A179" s="481" t="s">
        <v>994</v>
      </c>
      <c r="B179" s="481"/>
      <c r="C179" s="481"/>
      <c r="D179" s="481"/>
      <c r="E179" s="481"/>
      <c r="F179" s="481"/>
      <c r="G179" s="81"/>
    </row>
    <row r="180" spans="1:9" x14ac:dyDescent="0.25">
      <c r="A180" s="420" t="s">
        <v>10</v>
      </c>
      <c r="B180" s="420" t="s">
        <v>0</v>
      </c>
      <c r="C180" s="420" t="s">
        <v>11</v>
      </c>
      <c r="D180" s="420" t="s">
        <v>12</v>
      </c>
      <c r="E180" s="420"/>
      <c r="F180" s="420"/>
      <c r="G180" s="81"/>
    </row>
    <row r="181" spans="1:9" x14ac:dyDescent="0.25">
      <c r="A181" s="420"/>
      <c r="B181" s="420"/>
      <c r="C181" s="420"/>
      <c r="D181" s="54" t="s">
        <v>13</v>
      </c>
      <c r="E181" s="54" t="s">
        <v>14</v>
      </c>
      <c r="F181" s="54" t="s">
        <v>15</v>
      </c>
      <c r="G181" s="81"/>
    </row>
    <row r="182" spans="1:9" x14ac:dyDescent="0.25">
      <c r="A182" s="222">
        <f t="shared" ref="A182:A217" si="8">A181+1</f>
        <v>1</v>
      </c>
      <c r="B182" s="11" t="s">
        <v>16</v>
      </c>
      <c r="C182" s="286"/>
      <c r="D182" s="177"/>
      <c r="E182" s="178"/>
      <c r="F182" s="178"/>
      <c r="G182" s="81"/>
    </row>
    <row r="183" spans="1:9" ht="42.75" x14ac:dyDescent="0.25">
      <c r="A183" s="222">
        <f t="shared" si="8"/>
        <v>2</v>
      </c>
      <c r="B183" s="132" t="s">
        <v>340</v>
      </c>
      <c r="C183" s="222" t="s">
        <v>341</v>
      </c>
      <c r="D183" s="186">
        <v>82</v>
      </c>
      <c r="E183" s="187">
        <v>6807</v>
      </c>
      <c r="F183" s="187">
        <f>ROUND(D183*E183,0)</f>
        <v>558174</v>
      </c>
      <c r="G183" s="81"/>
      <c r="I183" s="53"/>
    </row>
    <row r="184" spans="1:9" ht="43.5" x14ac:dyDescent="0.25">
      <c r="A184" s="222">
        <f t="shared" si="8"/>
        <v>3</v>
      </c>
      <c r="B184" s="13" t="s">
        <v>343</v>
      </c>
      <c r="C184" s="222" t="s">
        <v>341</v>
      </c>
      <c r="D184" s="186">
        <v>169</v>
      </c>
      <c r="E184" s="187">
        <v>12418</v>
      </c>
      <c r="F184" s="187">
        <f>ROUND(D184*E184,0)</f>
        <v>2098642</v>
      </c>
      <c r="G184" s="81"/>
      <c r="I184" s="53"/>
    </row>
    <row r="185" spans="1:9" ht="43.5" x14ac:dyDescent="0.25">
      <c r="A185" s="222">
        <f t="shared" si="8"/>
        <v>4</v>
      </c>
      <c r="B185" s="13" t="s">
        <v>345</v>
      </c>
      <c r="C185" s="222" t="s">
        <v>125</v>
      </c>
      <c r="D185" s="186">
        <v>2</v>
      </c>
      <c r="E185" s="187">
        <v>243668</v>
      </c>
      <c r="F185" s="187">
        <f>ROUND(D185*E185,0)</f>
        <v>487336</v>
      </c>
      <c r="G185" s="81"/>
      <c r="I185" s="53"/>
    </row>
    <row r="186" spans="1:9" x14ac:dyDescent="0.25">
      <c r="A186" s="222">
        <f t="shared" si="8"/>
        <v>5</v>
      </c>
      <c r="B186" s="11" t="s">
        <v>347</v>
      </c>
      <c r="C186" s="222"/>
      <c r="D186" s="186"/>
      <c r="E186" s="187" t="s">
        <v>1</v>
      </c>
      <c r="F186" s="187"/>
      <c r="G186" s="81"/>
      <c r="I186" s="53"/>
    </row>
    <row r="187" spans="1:9" x14ac:dyDescent="0.25">
      <c r="A187" s="222">
        <f t="shared" si="8"/>
        <v>6</v>
      </c>
      <c r="B187" s="19" t="s">
        <v>349</v>
      </c>
      <c r="C187" s="222" t="s">
        <v>115</v>
      </c>
      <c r="D187" s="186">
        <v>1.1200000000000001</v>
      </c>
      <c r="E187" s="187">
        <v>127317</v>
      </c>
      <c r="F187" s="187">
        <f>ROUND(D187*E187,0)</f>
        <v>142595</v>
      </c>
      <c r="G187" s="81"/>
      <c r="I187" s="53"/>
    </row>
    <row r="188" spans="1:9" ht="29.25" x14ac:dyDescent="0.25">
      <c r="A188" s="222">
        <f t="shared" si="8"/>
        <v>7</v>
      </c>
      <c r="B188" s="13" t="s">
        <v>350</v>
      </c>
      <c r="C188" s="222" t="s">
        <v>115</v>
      </c>
      <c r="D188" s="186">
        <v>1.4</v>
      </c>
      <c r="E188" s="187">
        <v>103125</v>
      </c>
      <c r="F188" s="187">
        <f>ROUND(D188*E188,0)</f>
        <v>144375</v>
      </c>
      <c r="G188" s="81"/>
      <c r="I188" s="53"/>
    </row>
    <row r="189" spans="1:9" ht="43.5" x14ac:dyDescent="0.25">
      <c r="A189" s="222">
        <f t="shared" si="8"/>
        <v>8</v>
      </c>
      <c r="B189" s="13" t="s">
        <v>352</v>
      </c>
      <c r="C189" s="222" t="s">
        <v>115</v>
      </c>
      <c r="D189" s="186">
        <v>11.25</v>
      </c>
      <c r="E189" s="187">
        <v>96891</v>
      </c>
      <c r="F189" s="187">
        <f>ROUND(D189*E189,0)</f>
        <v>1090024</v>
      </c>
      <c r="G189" s="81"/>
      <c r="I189" s="53"/>
    </row>
    <row r="190" spans="1:9" x14ac:dyDescent="0.25">
      <c r="A190" s="222">
        <f t="shared" si="8"/>
        <v>9</v>
      </c>
      <c r="B190" s="179" t="s">
        <v>353</v>
      </c>
      <c r="C190" s="222"/>
      <c r="D190" s="186"/>
      <c r="E190" s="187" t="s">
        <v>1</v>
      </c>
      <c r="F190" s="187"/>
      <c r="G190" s="81"/>
      <c r="I190" s="53"/>
    </row>
    <row r="191" spans="1:9" ht="29.25" x14ac:dyDescent="0.25">
      <c r="A191" s="222">
        <f t="shared" si="8"/>
        <v>10</v>
      </c>
      <c r="B191" s="13" t="s">
        <v>355</v>
      </c>
      <c r="C191" s="222" t="s">
        <v>115</v>
      </c>
      <c r="D191" s="186">
        <v>13.77</v>
      </c>
      <c r="E191" s="187">
        <v>37784</v>
      </c>
      <c r="F191" s="187">
        <f>ROUND(D191*E191,0)</f>
        <v>520286</v>
      </c>
      <c r="G191" s="81"/>
      <c r="I191" s="53"/>
    </row>
    <row r="192" spans="1:9" x14ac:dyDescent="0.25">
      <c r="A192" s="222">
        <f t="shared" si="8"/>
        <v>11</v>
      </c>
      <c r="B192" s="179" t="s">
        <v>356</v>
      </c>
      <c r="C192" s="222"/>
      <c r="D192" s="186"/>
      <c r="E192" s="187" t="s">
        <v>1</v>
      </c>
      <c r="F192" s="187"/>
      <c r="G192" s="81"/>
      <c r="I192" s="53"/>
    </row>
    <row r="193" spans="1:9" ht="29.25" x14ac:dyDescent="0.25">
      <c r="A193" s="222">
        <f t="shared" si="8"/>
        <v>12</v>
      </c>
      <c r="B193" s="13" t="s">
        <v>358</v>
      </c>
      <c r="C193" s="222" t="s">
        <v>115</v>
      </c>
      <c r="D193" s="186">
        <v>113.29</v>
      </c>
      <c r="E193" s="187">
        <v>30196</v>
      </c>
      <c r="F193" s="187">
        <f>ROUND(D193*E193,0)</f>
        <v>3420905</v>
      </c>
      <c r="G193" s="81"/>
      <c r="I193" s="53"/>
    </row>
    <row r="194" spans="1:9" ht="29.25" x14ac:dyDescent="0.25">
      <c r="A194" s="222">
        <f t="shared" si="8"/>
        <v>13</v>
      </c>
      <c r="B194" s="13" t="s">
        <v>359</v>
      </c>
      <c r="C194" s="222" t="s">
        <v>115</v>
      </c>
      <c r="D194" s="186">
        <v>16.72</v>
      </c>
      <c r="E194" s="187">
        <v>36029</v>
      </c>
      <c r="F194" s="187">
        <f>ROUND(D194*E194,0)</f>
        <v>602405</v>
      </c>
      <c r="G194" s="81"/>
      <c r="I194" s="53"/>
    </row>
    <row r="195" spans="1:9" ht="29.25" x14ac:dyDescent="0.25">
      <c r="A195" s="222">
        <f t="shared" si="8"/>
        <v>14</v>
      </c>
      <c r="B195" s="13" t="s">
        <v>360</v>
      </c>
      <c r="C195" s="222" t="s">
        <v>20</v>
      </c>
      <c r="D195" s="186">
        <v>35</v>
      </c>
      <c r="E195" s="187">
        <v>36641</v>
      </c>
      <c r="F195" s="187">
        <f>ROUND(D195*E195,0)</f>
        <v>1282435</v>
      </c>
      <c r="G195" s="81"/>
      <c r="I195" s="53"/>
    </row>
    <row r="196" spans="1:9" x14ac:dyDescent="0.25">
      <c r="A196" s="222">
        <f t="shared" si="8"/>
        <v>15</v>
      </c>
      <c r="B196" s="179" t="s">
        <v>361</v>
      </c>
      <c r="C196" s="222"/>
      <c r="D196" s="186"/>
      <c r="E196" s="187" t="s">
        <v>1</v>
      </c>
      <c r="F196" s="187"/>
      <c r="G196" s="81"/>
      <c r="I196" s="53"/>
    </row>
    <row r="197" spans="1:9" ht="29.25" x14ac:dyDescent="0.25">
      <c r="A197" s="222">
        <f t="shared" si="8"/>
        <v>16</v>
      </c>
      <c r="B197" s="13" t="s">
        <v>363</v>
      </c>
      <c r="C197" s="222" t="s">
        <v>115</v>
      </c>
      <c r="D197" s="186">
        <v>67</v>
      </c>
      <c r="E197" s="187">
        <v>24785</v>
      </c>
      <c r="F197" s="187">
        <f>ROUND(D197*E197,0)</f>
        <v>1660595</v>
      </c>
      <c r="G197" s="81"/>
      <c r="I197" s="53"/>
    </row>
    <row r="198" spans="1:9" ht="29.25" x14ac:dyDescent="0.25">
      <c r="A198" s="222">
        <f t="shared" si="8"/>
        <v>17</v>
      </c>
      <c r="B198" s="13" t="s">
        <v>365</v>
      </c>
      <c r="C198" s="222" t="s">
        <v>115</v>
      </c>
      <c r="D198" s="186">
        <v>16.72</v>
      </c>
      <c r="E198" s="187">
        <v>108461</v>
      </c>
      <c r="F198" s="187">
        <f>ROUND(D198*E198,0)</f>
        <v>1813468</v>
      </c>
      <c r="G198" s="81"/>
      <c r="I198" s="53"/>
    </row>
    <row r="199" spans="1:9" ht="30" x14ac:dyDescent="0.25">
      <c r="A199" s="222">
        <f t="shared" si="8"/>
        <v>18</v>
      </c>
      <c r="B199" s="179" t="s">
        <v>366</v>
      </c>
      <c r="C199" s="286"/>
      <c r="D199" s="177"/>
      <c r="E199" s="178" t="s">
        <v>1</v>
      </c>
      <c r="F199" s="178"/>
      <c r="G199" s="81"/>
      <c r="I199" s="53"/>
    </row>
    <row r="200" spans="1:9" ht="43.5" x14ac:dyDescent="0.25">
      <c r="A200" s="222">
        <f t="shared" si="8"/>
        <v>19</v>
      </c>
      <c r="B200" s="13" t="s">
        <v>368</v>
      </c>
      <c r="C200" s="222" t="s">
        <v>115</v>
      </c>
      <c r="D200" s="186">
        <v>1.84</v>
      </c>
      <c r="E200" s="187">
        <v>98808</v>
      </c>
      <c r="F200" s="187">
        <f>ROUND(D200*E200,0)</f>
        <v>181807</v>
      </c>
      <c r="G200" s="81"/>
      <c r="I200" s="53"/>
    </row>
    <row r="201" spans="1:9" ht="57.75" x14ac:dyDescent="0.25">
      <c r="A201" s="222">
        <f t="shared" si="8"/>
        <v>20</v>
      </c>
      <c r="B201" s="13" t="s">
        <v>369</v>
      </c>
      <c r="C201" s="222" t="s">
        <v>115</v>
      </c>
      <c r="D201" s="186">
        <v>15.12</v>
      </c>
      <c r="E201" s="187">
        <v>178911</v>
      </c>
      <c r="F201" s="187">
        <f>ROUND(D201*E201,0)</f>
        <v>2705134</v>
      </c>
      <c r="G201" s="81"/>
      <c r="I201" s="53"/>
    </row>
    <row r="202" spans="1:9" ht="43.5" x14ac:dyDescent="0.25">
      <c r="A202" s="222">
        <f t="shared" si="8"/>
        <v>21</v>
      </c>
      <c r="B202" s="13" t="s">
        <v>370</v>
      </c>
      <c r="C202" s="222" t="s">
        <v>115</v>
      </c>
      <c r="D202" s="186">
        <v>31.4</v>
      </c>
      <c r="E202" s="187">
        <v>102106</v>
      </c>
      <c r="F202" s="187">
        <f>ROUND(D202*E202,0)</f>
        <v>3206128</v>
      </c>
      <c r="G202" s="81"/>
      <c r="I202" s="53"/>
    </row>
    <row r="203" spans="1:9" x14ac:dyDescent="0.25">
      <c r="A203" s="222">
        <f t="shared" si="8"/>
        <v>22</v>
      </c>
      <c r="B203" s="179" t="s">
        <v>371</v>
      </c>
      <c r="C203" s="222"/>
      <c r="D203" s="186"/>
      <c r="E203" s="187" t="s">
        <v>1</v>
      </c>
      <c r="F203" s="187"/>
      <c r="G203" s="81"/>
      <c r="I203" s="53"/>
    </row>
    <row r="204" spans="1:9" ht="57.75" x14ac:dyDescent="0.25">
      <c r="A204" s="222">
        <f t="shared" si="8"/>
        <v>23</v>
      </c>
      <c r="B204" s="13" t="s">
        <v>373</v>
      </c>
      <c r="C204" s="222" t="s">
        <v>18</v>
      </c>
      <c r="D204" s="186">
        <f>3*10</f>
        <v>30</v>
      </c>
      <c r="E204" s="187">
        <v>50989</v>
      </c>
      <c r="F204" s="187">
        <f t="shared" ref="F204:F211" si="9">ROUND(D204*E204,0)</f>
        <v>1529670</v>
      </c>
      <c r="G204" s="81"/>
      <c r="I204" s="53"/>
    </row>
    <row r="205" spans="1:9" ht="57.75" x14ac:dyDescent="0.25">
      <c r="A205" s="222">
        <f>A204+1</f>
        <v>24</v>
      </c>
      <c r="B205" s="13" t="s">
        <v>375</v>
      </c>
      <c r="C205" s="222" t="s">
        <v>18</v>
      </c>
      <c r="D205" s="186">
        <v>82</v>
      </c>
      <c r="E205" s="187">
        <v>133466</v>
      </c>
      <c r="F205" s="187">
        <f t="shared" si="9"/>
        <v>10944212</v>
      </c>
      <c r="G205" s="81"/>
      <c r="I205" s="53"/>
    </row>
    <row r="206" spans="1:9" ht="29.25" x14ac:dyDescent="0.25">
      <c r="A206" s="222">
        <f t="shared" si="8"/>
        <v>25</v>
      </c>
      <c r="B206" s="13" t="s">
        <v>377</v>
      </c>
      <c r="C206" s="222" t="s">
        <v>125</v>
      </c>
      <c r="D206" s="186">
        <v>2</v>
      </c>
      <c r="E206" s="187">
        <v>100510</v>
      </c>
      <c r="F206" s="187">
        <f t="shared" si="9"/>
        <v>201020</v>
      </c>
      <c r="G206" s="81"/>
      <c r="I206" s="53"/>
    </row>
    <row r="207" spans="1:9" ht="29.25" x14ac:dyDescent="0.25">
      <c r="A207" s="222">
        <f t="shared" si="8"/>
        <v>26</v>
      </c>
      <c r="B207" s="13" t="s">
        <v>379</v>
      </c>
      <c r="C207" s="286" t="s">
        <v>125</v>
      </c>
      <c r="D207" s="177">
        <v>5</v>
      </c>
      <c r="E207" s="178">
        <v>68124</v>
      </c>
      <c r="F207" s="178">
        <f t="shared" si="9"/>
        <v>340620</v>
      </c>
      <c r="G207" s="81"/>
      <c r="I207" s="53"/>
    </row>
    <row r="208" spans="1:9" ht="29.25" x14ac:dyDescent="0.25">
      <c r="A208" s="222">
        <f t="shared" si="8"/>
        <v>27</v>
      </c>
      <c r="B208" s="13" t="s">
        <v>381</v>
      </c>
      <c r="C208" s="286" t="s">
        <v>18</v>
      </c>
      <c r="D208" s="177">
        <v>4.5</v>
      </c>
      <c r="E208" s="178">
        <v>724737</v>
      </c>
      <c r="F208" s="178">
        <f t="shared" si="9"/>
        <v>3261317</v>
      </c>
      <c r="G208" s="81"/>
      <c r="I208" s="53"/>
    </row>
    <row r="209" spans="1:13" ht="29.25" x14ac:dyDescent="0.25">
      <c r="A209" s="222">
        <f t="shared" si="8"/>
        <v>28</v>
      </c>
      <c r="B209" s="13" t="s">
        <v>383</v>
      </c>
      <c r="C209" s="286" t="s">
        <v>125</v>
      </c>
      <c r="D209" s="177">
        <v>3</v>
      </c>
      <c r="E209" s="178">
        <v>599179</v>
      </c>
      <c r="F209" s="178">
        <f t="shared" si="9"/>
        <v>1797537</v>
      </c>
      <c r="G209" s="81"/>
      <c r="I209" s="53"/>
    </row>
    <row r="210" spans="1:13" ht="29.25" x14ac:dyDescent="0.25">
      <c r="A210" s="222">
        <f t="shared" si="8"/>
        <v>29</v>
      </c>
      <c r="B210" s="13" t="s">
        <v>385</v>
      </c>
      <c r="C210" s="286" t="s">
        <v>125</v>
      </c>
      <c r="D210" s="177">
        <v>3</v>
      </c>
      <c r="E210" s="178">
        <v>576006</v>
      </c>
      <c r="F210" s="178">
        <f t="shared" si="9"/>
        <v>1728018</v>
      </c>
      <c r="G210" s="81"/>
      <c r="I210" s="53"/>
    </row>
    <row r="211" spans="1:13" ht="43.5" x14ac:dyDescent="0.25">
      <c r="A211" s="222">
        <f t="shared" si="8"/>
        <v>30</v>
      </c>
      <c r="B211" s="13" t="s">
        <v>387</v>
      </c>
      <c r="C211" s="286" t="s">
        <v>23</v>
      </c>
      <c r="D211" s="177">
        <v>10</v>
      </c>
      <c r="E211" s="178">
        <v>415522</v>
      </c>
      <c r="F211" s="178">
        <f t="shared" si="9"/>
        <v>4155220</v>
      </c>
      <c r="G211" s="81"/>
      <c r="I211" s="53"/>
    </row>
    <row r="212" spans="1:13" ht="72" x14ac:dyDescent="0.25">
      <c r="A212" s="222">
        <f>A211+1</f>
        <v>31</v>
      </c>
      <c r="B212" s="13" t="s">
        <v>391</v>
      </c>
      <c r="C212" s="286" t="s">
        <v>125</v>
      </c>
      <c r="D212" s="177">
        <v>3</v>
      </c>
      <c r="E212" s="178">
        <v>725814</v>
      </c>
      <c r="F212" s="178">
        <f>ROUND(D212*E212,0)</f>
        <v>2177442</v>
      </c>
      <c r="G212" s="81"/>
      <c r="I212" s="53"/>
    </row>
    <row r="213" spans="1:13" x14ac:dyDescent="0.25">
      <c r="A213" s="222">
        <f t="shared" si="8"/>
        <v>32</v>
      </c>
      <c r="B213" s="13" t="s">
        <v>393</v>
      </c>
      <c r="C213" s="286" t="s">
        <v>125</v>
      </c>
      <c r="D213" s="177">
        <v>10</v>
      </c>
      <c r="E213" s="178">
        <v>66314</v>
      </c>
      <c r="F213" s="178">
        <f>ROUND(D213*E213,0)</f>
        <v>663140</v>
      </c>
      <c r="G213" s="81"/>
      <c r="I213" s="53"/>
    </row>
    <row r="214" spans="1:13" x14ac:dyDescent="0.25">
      <c r="A214" s="222">
        <f t="shared" si="8"/>
        <v>33</v>
      </c>
      <c r="B214" s="179" t="s">
        <v>394</v>
      </c>
      <c r="C214" s="286"/>
      <c r="D214" s="177"/>
      <c r="E214" s="178">
        <v>0</v>
      </c>
      <c r="F214" s="178"/>
      <c r="G214" s="81"/>
      <c r="I214" s="53"/>
    </row>
    <row r="215" spans="1:13" ht="29.25" x14ac:dyDescent="0.25">
      <c r="A215" s="222">
        <f t="shared" si="8"/>
        <v>34</v>
      </c>
      <c r="B215" s="13" t="s">
        <v>396</v>
      </c>
      <c r="C215" s="286" t="s">
        <v>18</v>
      </c>
      <c r="D215" s="177">
        <v>192</v>
      </c>
      <c r="E215" s="178">
        <v>12737</v>
      </c>
      <c r="F215" s="178">
        <f>ROUND(D215*E215,0)</f>
        <v>2445504</v>
      </c>
      <c r="G215" s="81"/>
      <c r="I215" s="53"/>
    </row>
    <row r="216" spans="1:13" ht="43.5" x14ac:dyDescent="0.25">
      <c r="A216" s="222">
        <f>A215+1</f>
        <v>35</v>
      </c>
      <c r="B216" s="181" t="s">
        <v>400</v>
      </c>
      <c r="C216" s="286" t="s">
        <v>115</v>
      </c>
      <c r="D216" s="177">
        <v>1.84</v>
      </c>
      <c r="E216" s="178">
        <v>752231</v>
      </c>
      <c r="F216" s="178">
        <f>ROUND(D216*E216,0)</f>
        <v>1384105</v>
      </c>
      <c r="G216" s="81"/>
      <c r="I216" s="53"/>
    </row>
    <row r="217" spans="1:13" ht="57" x14ac:dyDescent="0.25">
      <c r="A217" s="222">
        <f t="shared" si="8"/>
        <v>36</v>
      </c>
      <c r="B217" s="9" t="s">
        <v>401</v>
      </c>
      <c r="C217" s="286" t="s">
        <v>115</v>
      </c>
      <c r="D217" s="177">
        <v>12.19</v>
      </c>
      <c r="E217" s="178">
        <v>913832</v>
      </c>
      <c r="F217" s="178">
        <f>ROUND(D217*E217,0)</f>
        <v>11139612</v>
      </c>
      <c r="G217" s="81"/>
      <c r="I217" s="53"/>
      <c r="M217" s="32"/>
    </row>
    <row r="218" spans="1:13" x14ac:dyDescent="0.25">
      <c r="A218" s="19"/>
      <c r="B218" s="19"/>
      <c r="C218" s="286"/>
      <c r="D218" s="286"/>
      <c r="E218" s="178"/>
      <c r="F218" s="178"/>
      <c r="G218" s="81"/>
    </row>
    <row r="219" spans="1:13" x14ac:dyDescent="0.25">
      <c r="A219" s="219"/>
      <c r="B219" s="18" t="s">
        <v>56</v>
      </c>
      <c r="C219" s="54"/>
      <c r="D219" s="130"/>
      <c r="E219" s="28"/>
      <c r="F219" s="28">
        <f>ROUND(F217+F216+F215+F213+F212+F211+F210+F209+F208+F207+F206+F205+F204+++F202+F201+F200+F198+F197+F195+F194+F193+F191+F189+F188+F187+F185+F184+F183,0)</f>
        <v>61681726</v>
      </c>
      <c r="G219" s="81"/>
      <c r="M219" s="32"/>
    </row>
    <row r="220" spans="1:13" x14ac:dyDescent="0.25">
      <c r="A220" s="19"/>
      <c r="B220" s="19" t="s">
        <v>60</v>
      </c>
      <c r="C220" s="19"/>
      <c r="D220" s="19"/>
      <c r="E220" s="19"/>
      <c r="F220" s="29">
        <f>ROUND(F219/1.3495,0)</f>
        <v>45707096</v>
      </c>
      <c r="G220" s="81"/>
    </row>
    <row r="221" spans="1:13" x14ac:dyDescent="0.25">
      <c r="A221" s="19"/>
      <c r="B221" s="19" t="s">
        <v>61</v>
      </c>
      <c r="C221" s="131">
        <v>0.24</v>
      </c>
      <c r="D221" s="19"/>
      <c r="E221" s="19"/>
      <c r="F221" s="29">
        <f>ROUND(F220*C221,0)</f>
        <v>10969703</v>
      </c>
      <c r="G221" s="81"/>
    </row>
    <row r="222" spans="1:13" x14ac:dyDescent="0.25">
      <c r="A222" s="19"/>
      <c r="B222" s="19" t="s">
        <v>57</v>
      </c>
      <c r="C222" s="131">
        <v>0.05</v>
      </c>
      <c r="D222" s="19"/>
      <c r="E222" s="19"/>
      <c r="F222" s="29">
        <f>ROUND(F220*C222,0)</f>
        <v>2285355</v>
      </c>
      <c r="G222" s="81"/>
    </row>
    <row r="223" spans="1:13" x14ac:dyDescent="0.25">
      <c r="A223" s="19"/>
      <c r="B223" s="19" t="s">
        <v>62</v>
      </c>
      <c r="C223" s="131">
        <v>0.05</v>
      </c>
      <c r="D223" s="19"/>
      <c r="E223" s="19"/>
      <c r="F223" s="29">
        <f>ROUND(F220*C223,0)</f>
        <v>2285355</v>
      </c>
      <c r="G223" s="81"/>
    </row>
    <row r="224" spans="1:13" x14ac:dyDescent="0.25">
      <c r="A224" s="19"/>
      <c r="B224" s="132" t="s">
        <v>63</v>
      </c>
      <c r="C224" s="133">
        <v>0.19</v>
      </c>
      <c r="D224" s="120"/>
      <c r="E224" s="120"/>
      <c r="F224" s="35">
        <f>ROUND(F223*19%,0)</f>
        <v>434217</v>
      </c>
      <c r="G224" s="81"/>
    </row>
    <row r="225" spans="1:7" x14ac:dyDescent="0.25">
      <c r="A225" s="19"/>
      <c r="B225" s="18" t="s">
        <v>56</v>
      </c>
      <c r="C225" s="19"/>
      <c r="D225" s="19"/>
      <c r="E225" s="19"/>
      <c r="F225" s="30">
        <f>SUM(F220:F224)</f>
        <v>61681726</v>
      </c>
      <c r="G225" s="81"/>
    </row>
    <row r="226" spans="1:7" ht="15.75" thickBot="1" x14ac:dyDescent="0.3">
      <c r="A226" s="81"/>
      <c r="B226" s="81"/>
      <c r="C226" s="81"/>
      <c r="D226" s="81"/>
      <c r="E226" s="81"/>
      <c r="F226" s="81"/>
      <c r="G226" s="81"/>
    </row>
    <row r="227" spans="1:7" ht="39" customHeight="1" x14ac:dyDescent="0.25">
      <c r="A227" s="478" t="s">
        <v>995</v>
      </c>
      <c r="B227" s="479"/>
      <c r="C227" s="479"/>
      <c r="D227" s="479"/>
      <c r="E227" s="479"/>
      <c r="F227" s="480"/>
      <c r="G227" s="81"/>
    </row>
    <row r="228" spans="1:7" x14ac:dyDescent="0.25">
      <c r="A228" s="420" t="s">
        <v>10</v>
      </c>
      <c r="B228" s="420" t="s">
        <v>0</v>
      </c>
      <c r="C228" s="420" t="s">
        <v>11</v>
      </c>
      <c r="D228" s="420" t="s">
        <v>12</v>
      </c>
      <c r="E228" s="420"/>
      <c r="F228" s="420"/>
      <c r="G228" s="81"/>
    </row>
    <row r="229" spans="1:7" x14ac:dyDescent="0.25">
      <c r="A229" s="420"/>
      <c r="B229" s="420"/>
      <c r="C229" s="420"/>
      <c r="D229" s="54" t="s">
        <v>13</v>
      </c>
      <c r="E229" s="54" t="s">
        <v>14</v>
      </c>
      <c r="F229" s="54" t="s">
        <v>15</v>
      </c>
      <c r="G229" s="81"/>
    </row>
    <row r="230" spans="1:7" x14ac:dyDescent="0.25">
      <c r="A230" s="222">
        <f t="shared" ref="A230:A265" si="10">A229+1</f>
        <v>1</v>
      </c>
      <c r="B230" s="11" t="s">
        <v>16</v>
      </c>
      <c r="C230" s="286"/>
      <c r="D230" s="177"/>
      <c r="E230" s="178"/>
      <c r="F230" s="178"/>
      <c r="G230" s="81"/>
    </row>
    <row r="231" spans="1:7" ht="42.75" x14ac:dyDescent="0.25">
      <c r="A231" s="222">
        <f t="shared" si="10"/>
        <v>2</v>
      </c>
      <c r="B231" s="132" t="s">
        <v>340</v>
      </c>
      <c r="C231" s="222" t="s">
        <v>341</v>
      </c>
      <c r="D231" s="186">
        <v>75</v>
      </c>
      <c r="E231" s="187">
        <v>4821</v>
      </c>
      <c r="F231" s="187">
        <f>ROUND(D231*E231,0)</f>
        <v>361575</v>
      </c>
      <c r="G231" s="81"/>
    </row>
    <row r="232" spans="1:7" ht="29.25" x14ac:dyDescent="0.25">
      <c r="A232" s="222">
        <f t="shared" si="10"/>
        <v>3</v>
      </c>
      <c r="B232" s="13" t="s">
        <v>404</v>
      </c>
      <c r="C232" s="222" t="s">
        <v>20</v>
      </c>
      <c r="D232" s="186">
        <v>225</v>
      </c>
      <c r="E232" s="187">
        <v>8364</v>
      </c>
      <c r="F232" s="187">
        <f>ROUND(D232*E232,0)</f>
        <v>1881900</v>
      </c>
      <c r="G232" s="81"/>
    </row>
    <row r="233" spans="1:7" ht="43.5" x14ac:dyDescent="0.25">
      <c r="A233" s="222">
        <f t="shared" si="10"/>
        <v>4</v>
      </c>
      <c r="B233" s="13" t="s">
        <v>343</v>
      </c>
      <c r="C233" s="222" t="s">
        <v>341</v>
      </c>
      <c r="D233" s="186">
        <v>150</v>
      </c>
      <c r="E233" s="187">
        <v>12581</v>
      </c>
      <c r="F233" s="187">
        <f>ROUND(D233*E233,0)</f>
        <v>1887150</v>
      </c>
      <c r="G233" s="81"/>
    </row>
    <row r="234" spans="1:7" ht="43.5" x14ac:dyDescent="0.25">
      <c r="A234" s="222">
        <f t="shared" si="10"/>
        <v>5</v>
      </c>
      <c r="B234" s="13" t="s">
        <v>345</v>
      </c>
      <c r="C234" s="222" t="s">
        <v>125</v>
      </c>
      <c r="D234" s="186">
        <v>6</v>
      </c>
      <c r="E234" s="187">
        <v>143626</v>
      </c>
      <c r="F234" s="187">
        <f>ROUND(D234*E234,0)</f>
        <v>861756</v>
      </c>
      <c r="G234" s="81"/>
    </row>
    <row r="235" spans="1:7" x14ac:dyDescent="0.25">
      <c r="A235" s="222">
        <f t="shared" si="10"/>
        <v>6</v>
      </c>
      <c r="B235" s="11" t="s">
        <v>347</v>
      </c>
      <c r="C235" s="222"/>
      <c r="D235" s="186"/>
      <c r="E235" s="187"/>
      <c r="F235" s="187"/>
      <c r="G235" s="81"/>
    </row>
    <row r="236" spans="1:7" x14ac:dyDescent="0.25">
      <c r="A236" s="222">
        <f t="shared" si="10"/>
        <v>7</v>
      </c>
      <c r="B236" s="19" t="s">
        <v>349</v>
      </c>
      <c r="C236" s="222" t="s">
        <v>115</v>
      </c>
      <c r="D236" s="186">
        <v>26.43</v>
      </c>
      <c r="E236" s="187">
        <v>77025</v>
      </c>
      <c r="F236" s="187">
        <f>ROUND(D236*E236,0)</f>
        <v>2035771</v>
      </c>
      <c r="G236" s="81"/>
    </row>
    <row r="237" spans="1:7" ht="29.25" x14ac:dyDescent="0.25">
      <c r="A237" s="222">
        <f t="shared" si="10"/>
        <v>8</v>
      </c>
      <c r="B237" s="13" t="s">
        <v>350</v>
      </c>
      <c r="C237" s="222" t="s">
        <v>115</v>
      </c>
      <c r="D237" s="186">
        <v>1.81</v>
      </c>
      <c r="E237" s="187">
        <v>70250</v>
      </c>
      <c r="F237" s="187">
        <f>ROUND(D237*E237,0)</f>
        <v>127153</v>
      </c>
      <c r="G237" s="81"/>
    </row>
    <row r="238" spans="1:7" ht="43.5" x14ac:dyDescent="0.25">
      <c r="A238" s="222">
        <f t="shared" si="10"/>
        <v>9</v>
      </c>
      <c r="B238" s="13" t="s">
        <v>352</v>
      </c>
      <c r="C238" s="222" t="s">
        <v>115</v>
      </c>
      <c r="D238" s="186">
        <v>34.72</v>
      </c>
      <c r="E238" s="187">
        <v>72560</v>
      </c>
      <c r="F238" s="187">
        <f>ROUND(D238*E238,0)</f>
        <v>2519283</v>
      </c>
      <c r="G238" s="81"/>
    </row>
    <row r="239" spans="1:7" x14ac:dyDescent="0.25">
      <c r="A239" s="222">
        <f t="shared" si="10"/>
        <v>10</v>
      </c>
      <c r="B239" s="179" t="s">
        <v>353</v>
      </c>
      <c r="C239" s="222"/>
      <c r="D239" s="186"/>
      <c r="E239" s="187"/>
      <c r="F239" s="187"/>
      <c r="G239" s="81"/>
    </row>
    <row r="240" spans="1:7" ht="29.25" x14ac:dyDescent="0.25">
      <c r="A240" s="222">
        <f t="shared" si="10"/>
        <v>11</v>
      </c>
      <c r="B240" s="13" t="s">
        <v>355</v>
      </c>
      <c r="C240" s="222" t="s">
        <v>115</v>
      </c>
      <c r="D240" s="186">
        <v>90</v>
      </c>
      <c r="E240" s="187">
        <v>30279</v>
      </c>
      <c r="F240" s="187">
        <f>ROUND(D240*E240,0)</f>
        <v>2725110</v>
      </c>
      <c r="G240" s="81"/>
    </row>
    <row r="241" spans="1:7" x14ac:dyDescent="0.25">
      <c r="A241" s="222">
        <f t="shared" si="10"/>
        <v>12</v>
      </c>
      <c r="B241" s="179" t="s">
        <v>356</v>
      </c>
      <c r="C241" s="222"/>
      <c r="D241" s="186"/>
      <c r="E241" s="187"/>
      <c r="F241" s="187"/>
      <c r="G241" s="81"/>
    </row>
    <row r="242" spans="1:7" ht="29.25" x14ac:dyDescent="0.25">
      <c r="A242" s="222">
        <f t="shared" si="10"/>
        <v>13</v>
      </c>
      <c r="B242" s="13" t="s">
        <v>358</v>
      </c>
      <c r="C242" s="222" t="s">
        <v>115</v>
      </c>
      <c r="D242" s="186">
        <v>305.51</v>
      </c>
      <c r="E242" s="187">
        <v>24331</v>
      </c>
      <c r="F242" s="187">
        <f>ROUND(D242*E242,0)</f>
        <v>7433364</v>
      </c>
      <c r="G242" s="81"/>
    </row>
    <row r="243" spans="1:7" ht="29.25" x14ac:dyDescent="0.25">
      <c r="A243" s="222">
        <f>A242+1</f>
        <v>14</v>
      </c>
      <c r="B243" s="13" t="s">
        <v>407</v>
      </c>
      <c r="C243" s="222" t="s">
        <v>20</v>
      </c>
      <c r="D243" s="186">
        <v>147.55000000000001</v>
      </c>
      <c r="E243" s="187">
        <v>28780</v>
      </c>
      <c r="F243" s="187">
        <f>ROUND(D243*E243,0)</f>
        <v>4246489</v>
      </c>
      <c r="G243" s="81"/>
    </row>
    <row r="244" spans="1:7" x14ac:dyDescent="0.25">
      <c r="A244" s="222">
        <f t="shared" si="10"/>
        <v>15</v>
      </c>
      <c r="B244" s="179" t="s">
        <v>361</v>
      </c>
      <c r="C244" s="222"/>
      <c r="D244" s="186"/>
      <c r="E244" s="187"/>
      <c r="F244" s="187"/>
      <c r="G244" s="81"/>
    </row>
    <row r="245" spans="1:7" ht="29.25" x14ac:dyDescent="0.25">
      <c r="A245" s="222">
        <f t="shared" si="10"/>
        <v>16</v>
      </c>
      <c r="B245" s="13" t="s">
        <v>363</v>
      </c>
      <c r="C245" s="222" t="s">
        <v>115</v>
      </c>
      <c r="D245" s="186">
        <v>180</v>
      </c>
      <c r="E245" s="187">
        <v>20461</v>
      </c>
      <c r="F245" s="187">
        <f>ROUND(D245*E245,0)</f>
        <v>3682980</v>
      </c>
      <c r="G245" s="81"/>
    </row>
    <row r="246" spans="1:7" ht="29.25" x14ac:dyDescent="0.25">
      <c r="A246" s="222">
        <f t="shared" si="10"/>
        <v>17</v>
      </c>
      <c r="B246" s="13" t="s">
        <v>365</v>
      </c>
      <c r="C246" s="222" t="s">
        <v>115</v>
      </c>
      <c r="D246" s="186">
        <v>130.29</v>
      </c>
      <c r="E246" s="187">
        <v>64903</v>
      </c>
      <c r="F246" s="187">
        <f>ROUND(D246*E246,0)</f>
        <v>8456212</v>
      </c>
      <c r="G246" s="81"/>
    </row>
    <row r="247" spans="1:7" ht="30" x14ac:dyDescent="0.25">
      <c r="A247" s="222">
        <f t="shared" si="10"/>
        <v>18</v>
      </c>
      <c r="B247" s="179" t="s">
        <v>366</v>
      </c>
      <c r="C247" s="222"/>
      <c r="D247" s="186"/>
      <c r="E247" s="187"/>
      <c r="F247" s="187"/>
      <c r="G247" s="81"/>
    </row>
    <row r="248" spans="1:7" ht="43.5" x14ac:dyDescent="0.25">
      <c r="A248" s="222">
        <f t="shared" si="10"/>
        <v>19</v>
      </c>
      <c r="B248" s="13" t="s">
        <v>370</v>
      </c>
      <c r="C248" s="222" t="s">
        <v>115</v>
      </c>
      <c r="D248" s="186">
        <v>11.8</v>
      </c>
      <c r="E248" s="187">
        <v>111552</v>
      </c>
      <c r="F248" s="187">
        <f>ROUND(D248*E248,0)</f>
        <v>1316314</v>
      </c>
      <c r="G248" s="81"/>
    </row>
    <row r="249" spans="1:7" x14ac:dyDescent="0.25">
      <c r="A249" s="222">
        <f t="shared" si="10"/>
        <v>20</v>
      </c>
      <c r="B249" s="13" t="s">
        <v>408</v>
      </c>
      <c r="C249" s="222" t="s">
        <v>115</v>
      </c>
      <c r="D249" s="186">
        <v>3.1320000000000001</v>
      </c>
      <c r="E249" s="187">
        <v>133917</v>
      </c>
      <c r="F249" s="187">
        <f>ROUND(D249*E249,0)</f>
        <v>419428</v>
      </c>
      <c r="G249" s="81"/>
    </row>
    <row r="250" spans="1:7" x14ac:dyDescent="0.25">
      <c r="A250" s="222">
        <f t="shared" si="10"/>
        <v>21</v>
      </c>
      <c r="B250" s="18" t="s">
        <v>409</v>
      </c>
      <c r="C250" s="222"/>
      <c r="D250" s="186"/>
      <c r="E250" s="187"/>
      <c r="F250" s="187"/>
      <c r="G250" s="81"/>
    </row>
    <row r="251" spans="1:7" ht="29.25" x14ac:dyDescent="0.25">
      <c r="A251" s="222">
        <f t="shared" si="10"/>
        <v>22</v>
      </c>
      <c r="B251" s="13" t="s">
        <v>410</v>
      </c>
      <c r="C251" s="222" t="s">
        <v>115</v>
      </c>
      <c r="D251" s="186">
        <v>7.12</v>
      </c>
      <c r="E251" s="187">
        <v>559789</v>
      </c>
      <c r="F251" s="187">
        <f>ROUND(D251*E251,0)</f>
        <v>3985698</v>
      </c>
      <c r="G251" s="81"/>
    </row>
    <row r="252" spans="1:7" ht="29.25" x14ac:dyDescent="0.25">
      <c r="A252" s="222">
        <f t="shared" si="10"/>
        <v>23</v>
      </c>
      <c r="B252" s="13" t="s">
        <v>412</v>
      </c>
      <c r="C252" s="222" t="s">
        <v>115</v>
      </c>
      <c r="D252" s="186">
        <v>2.82</v>
      </c>
      <c r="E252" s="187">
        <v>760218</v>
      </c>
      <c r="F252" s="187">
        <f>ROUND(D252*E252,0)</f>
        <v>2143815</v>
      </c>
      <c r="G252" s="81"/>
    </row>
    <row r="253" spans="1:7" x14ac:dyDescent="0.25">
      <c r="A253" s="222">
        <f t="shared" si="10"/>
        <v>24</v>
      </c>
      <c r="B253" s="13" t="s">
        <v>413</v>
      </c>
      <c r="C253" s="222" t="s">
        <v>18</v>
      </c>
      <c r="D253" s="186">
        <v>250</v>
      </c>
      <c r="E253" s="187">
        <v>7054</v>
      </c>
      <c r="F253" s="187">
        <f>ROUND(D253*E253,0)</f>
        <v>1763500</v>
      </c>
      <c r="G253" s="81"/>
    </row>
    <row r="254" spans="1:7" x14ac:dyDescent="0.25">
      <c r="A254" s="222">
        <f t="shared" si="10"/>
        <v>25</v>
      </c>
      <c r="B254" s="179" t="s">
        <v>371</v>
      </c>
      <c r="C254" s="222"/>
      <c r="D254" s="186"/>
      <c r="E254" s="187"/>
      <c r="F254" s="187"/>
      <c r="G254" s="81"/>
    </row>
    <row r="255" spans="1:7" ht="43.5" x14ac:dyDescent="0.25">
      <c r="A255" s="222">
        <f t="shared" si="10"/>
        <v>26</v>
      </c>
      <c r="B255" s="13" t="s">
        <v>523</v>
      </c>
      <c r="C255" s="222" t="s">
        <v>18</v>
      </c>
      <c r="D255" s="186">
        <v>118.6</v>
      </c>
      <c r="E255" s="187">
        <v>12761</v>
      </c>
      <c r="F255" s="187">
        <f t="shared" ref="F255:F262" si="11">ROUND(D255*E255,0)</f>
        <v>1513455</v>
      </c>
      <c r="G255" s="81"/>
    </row>
    <row r="256" spans="1:7" ht="43.5" x14ac:dyDescent="0.25">
      <c r="A256" s="222">
        <f t="shared" si="10"/>
        <v>27</v>
      </c>
      <c r="B256" s="13" t="s">
        <v>970</v>
      </c>
      <c r="C256" s="222" t="s">
        <v>18</v>
      </c>
      <c r="D256" s="186">
        <v>76</v>
      </c>
      <c r="E256" s="187">
        <v>38000</v>
      </c>
      <c r="F256" s="187">
        <f t="shared" si="11"/>
        <v>2888000</v>
      </c>
      <c r="G256" s="81"/>
    </row>
    <row r="257" spans="1:7" ht="29.25" x14ac:dyDescent="0.25">
      <c r="A257" s="222">
        <f t="shared" si="10"/>
        <v>28</v>
      </c>
      <c r="B257" s="13" t="s">
        <v>377</v>
      </c>
      <c r="C257" s="222" t="s">
        <v>125</v>
      </c>
      <c r="D257" s="186">
        <v>4</v>
      </c>
      <c r="E257" s="187">
        <v>83498</v>
      </c>
      <c r="F257" s="187">
        <f t="shared" si="11"/>
        <v>333992</v>
      </c>
      <c r="G257" s="81"/>
    </row>
    <row r="258" spans="1:7" ht="29.25" x14ac:dyDescent="0.25">
      <c r="A258" s="222">
        <f t="shared" si="10"/>
        <v>29</v>
      </c>
      <c r="B258" s="13" t="s">
        <v>379</v>
      </c>
      <c r="C258" s="222" t="s">
        <v>125</v>
      </c>
      <c r="D258" s="186">
        <v>10</v>
      </c>
      <c r="E258" s="187">
        <v>51240</v>
      </c>
      <c r="F258" s="187">
        <f t="shared" si="11"/>
        <v>512400</v>
      </c>
      <c r="G258" s="81"/>
    </row>
    <row r="259" spans="1:7" ht="29.25" x14ac:dyDescent="0.25">
      <c r="A259" s="222">
        <f t="shared" si="10"/>
        <v>30</v>
      </c>
      <c r="B259" s="13" t="s">
        <v>381</v>
      </c>
      <c r="C259" s="286" t="s">
        <v>18</v>
      </c>
      <c r="D259" s="177">
        <v>1.7</v>
      </c>
      <c r="E259" s="178">
        <v>589311</v>
      </c>
      <c r="F259" s="178">
        <f t="shared" si="11"/>
        <v>1001829</v>
      </c>
      <c r="G259" s="81"/>
    </row>
    <row r="260" spans="1:7" ht="29.25" x14ac:dyDescent="0.25">
      <c r="A260" s="222">
        <f t="shared" si="10"/>
        <v>31</v>
      </c>
      <c r="B260" s="13" t="s">
        <v>383</v>
      </c>
      <c r="C260" s="286" t="s">
        <v>125</v>
      </c>
      <c r="D260" s="177">
        <v>2</v>
      </c>
      <c r="E260" s="178">
        <v>499663</v>
      </c>
      <c r="F260" s="178">
        <f t="shared" si="11"/>
        <v>999326</v>
      </c>
      <c r="G260" s="81"/>
    </row>
    <row r="261" spans="1:7" ht="57.75" x14ac:dyDescent="0.25">
      <c r="A261" s="222">
        <f t="shared" si="10"/>
        <v>32</v>
      </c>
      <c r="B261" s="13" t="s">
        <v>419</v>
      </c>
      <c r="C261" s="286" t="s">
        <v>125</v>
      </c>
      <c r="D261" s="177">
        <v>2</v>
      </c>
      <c r="E261" s="178">
        <v>904162</v>
      </c>
      <c r="F261" s="178">
        <f t="shared" si="11"/>
        <v>1808324</v>
      </c>
      <c r="G261" s="81"/>
    </row>
    <row r="262" spans="1:7" ht="29.25" x14ac:dyDescent="0.25">
      <c r="A262" s="222">
        <f t="shared" si="10"/>
        <v>33</v>
      </c>
      <c r="B262" s="13" t="s">
        <v>420</v>
      </c>
      <c r="C262" s="286" t="s">
        <v>23</v>
      </c>
      <c r="D262" s="177">
        <v>15</v>
      </c>
      <c r="E262" s="178">
        <v>369647</v>
      </c>
      <c r="F262" s="178">
        <f t="shared" si="11"/>
        <v>5544705</v>
      </c>
      <c r="G262" s="81"/>
    </row>
    <row r="263" spans="1:7" x14ac:dyDescent="0.25">
      <c r="A263" s="222">
        <f t="shared" si="10"/>
        <v>34</v>
      </c>
      <c r="B263" s="13" t="s">
        <v>971</v>
      </c>
      <c r="C263" s="286" t="s">
        <v>125</v>
      </c>
      <c r="D263" s="177">
        <v>15</v>
      </c>
      <c r="E263" s="178">
        <v>40202</v>
      </c>
      <c r="F263" s="178">
        <f>ROUND(D263*E263,0)</f>
        <v>603030</v>
      </c>
      <c r="G263" s="81"/>
    </row>
    <row r="264" spans="1:7" ht="42.75" x14ac:dyDescent="0.25">
      <c r="A264" s="222">
        <f t="shared" si="10"/>
        <v>35</v>
      </c>
      <c r="B264" s="132" t="s">
        <v>426</v>
      </c>
      <c r="C264" s="286" t="s">
        <v>18</v>
      </c>
      <c r="D264" s="177">
        <v>100</v>
      </c>
      <c r="E264" s="178">
        <v>11194</v>
      </c>
      <c r="F264" s="178">
        <f>ROUND(D264*E264,0)</f>
        <v>1119400</v>
      </c>
      <c r="G264" s="81"/>
    </row>
    <row r="265" spans="1:7" ht="43.5" x14ac:dyDescent="0.25">
      <c r="A265" s="222">
        <f t="shared" si="10"/>
        <v>36</v>
      </c>
      <c r="B265" s="13" t="s">
        <v>427</v>
      </c>
      <c r="C265" s="286" t="s">
        <v>18</v>
      </c>
      <c r="D265" s="177">
        <v>10.6</v>
      </c>
      <c r="E265" s="178">
        <v>34688</v>
      </c>
      <c r="F265" s="178">
        <f>ROUND(D265*E265,0)</f>
        <v>367693</v>
      </c>
      <c r="G265" s="81"/>
    </row>
    <row r="266" spans="1:7" x14ac:dyDescent="0.25">
      <c r="A266" s="219"/>
      <c r="B266" s="18" t="s">
        <v>56</v>
      </c>
      <c r="C266" s="54"/>
      <c r="D266" s="130"/>
      <c r="E266" s="28"/>
      <c r="F266" s="28">
        <f>ROUND((F265+F264+F263+F262+F261+F260+F259+F258+F257+F256+F255+F239+F240+F243+F244+F245+F246+F247+F248+F249+F251+F250+F252+F253+F254+F241+F242+F238+F237+F236+F235+F234+F233+F232+F231),0)</f>
        <v>62539652</v>
      </c>
      <c r="G266" s="81"/>
    </row>
    <row r="267" spans="1:7" x14ac:dyDescent="0.25">
      <c r="A267" s="19"/>
      <c r="B267" s="19" t="s">
        <v>60</v>
      </c>
      <c r="C267" s="19"/>
      <c r="D267" s="19"/>
      <c r="E267" s="19"/>
      <c r="F267" s="29">
        <f>ROUND(F266/1.3495,0)</f>
        <v>46342832</v>
      </c>
      <c r="G267" s="81"/>
    </row>
    <row r="268" spans="1:7" x14ac:dyDescent="0.25">
      <c r="A268" s="19"/>
      <c r="B268" s="19" t="s">
        <v>61</v>
      </c>
      <c r="C268" s="131">
        <v>0.24</v>
      </c>
      <c r="D268" s="19"/>
      <c r="E268" s="19"/>
      <c r="F268" s="29">
        <f>ROUND(F267*C268,0)</f>
        <v>11122280</v>
      </c>
      <c r="G268" s="81"/>
    </row>
    <row r="269" spans="1:7" x14ac:dyDescent="0.25">
      <c r="A269" s="19"/>
      <c r="B269" s="19" t="s">
        <v>57</v>
      </c>
      <c r="C269" s="131">
        <v>0.05</v>
      </c>
      <c r="D269" s="19"/>
      <c r="E269" s="19"/>
      <c r="F269" s="29">
        <f>ROUND(F267*C269,0)</f>
        <v>2317142</v>
      </c>
      <c r="G269" s="81"/>
    </row>
    <row r="270" spans="1:7" x14ac:dyDescent="0.25">
      <c r="A270" s="19"/>
      <c r="B270" s="19" t="s">
        <v>62</v>
      </c>
      <c r="C270" s="131">
        <v>0.05</v>
      </c>
      <c r="D270" s="19"/>
      <c r="E270" s="19"/>
      <c r="F270" s="29">
        <f>ROUND(F267*C270,0)</f>
        <v>2317142</v>
      </c>
      <c r="G270" s="81"/>
    </row>
    <row r="271" spans="1:7" x14ac:dyDescent="0.25">
      <c r="A271" s="19"/>
      <c r="B271" s="132" t="s">
        <v>63</v>
      </c>
      <c r="C271" s="133">
        <v>0.19</v>
      </c>
      <c r="D271" s="120"/>
      <c r="E271" s="120"/>
      <c r="F271" s="35">
        <f>ROUND(F270*19%,0)</f>
        <v>440257</v>
      </c>
      <c r="G271" s="81"/>
    </row>
    <row r="272" spans="1:7" x14ac:dyDescent="0.25">
      <c r="A272" s="19"/>
      <c r="B272" s="18" t="s">
        <v>56</v>
      </c>
      <c r="C272" s="19"/>
      <c r="D272" s="19"/>
      <c r="E272" s="19"/>
      <c r="F272" s="30">
        <f>SUM(F267:F271)</f>
        <v>62539653</v>
      </c>
      <c r="G272" s="81"/>
    </row>
    <row r="273" spans="1:14" x14ac:dyDescent="0.25">
      <c r="A273" s="81"/>
      <c r="B273" s="81"/>
      <c r="C273" s="81"/>
      <c r="D273" s="81"/>
      <c r="E273" s="81"/>
      <c r="F273" s="81"/>
      <c r="G273" s="81"/>
    </row>
    <row r="274" spans="1:14" ht="30" customHeight="1" x14ac:dyDescent="0.25">
      <c r="A274" s="431" t="s">
        <v>1026</v>
      </c>
      <c r="B274" s="432"/>
      <c r="C274" s="432"/>
      <c r="D274" s="432"/>
      <c r="E274" s="432"/>
      <c r="F274" s="433"/>
      <c r="G274" s="81"/>
    </row>
    <row r="275" spans="1:14" x14ac:dyDescent="0.25">
      <c r="A275" s="420" t="s">
        <v>10</v>
      </c>
      <c r="B275" s="420" t="s">
        <v>0</v>
      </c>
      <c r="C275" s="420" t="s">
        <v>11</v>
      </c>
      <c r="D275" s="420" t="s">
        <v>12</v>
      </c>
      <c r="E275" s="420"/>
      <c r="F275" s="420"/>
      <c r="G275" s="81"/>
    </row>
    <row r="276" spans="1:14" x14ac:dyDescent="0.25">
      <c r="A276" s="420"/>
      <c r="B276" s="420"/>
      <c r="C276" s="420"/>
      <c r="D276" s="54" t="s">
        <v>13</v>
      </c>
      <c r="E276" s="54" t="s">
        <v>14</v>
      </c>
      <c r="F276" s="54" t="s">
        <v>15</v>
      </c>
      <c r="G276" s="81"/>
    </row>
    <row r="277" spans="1:14" x14ac:dyDescent="0.25">
      <c r="A277" s="222">
        <f t="shared" ref="A277:A291" si="12">A276+1</f>
        <v>1</v>
      </c>
      <c r="B277" s="18" t="s">
        <v>16</v>
      </c>
      <c r="C277" s="420"/>
      <c r="D277" s="420"/>
      <c r="E277" s="420"/>
      <c r="F277" s="20"/>
      <c r="G277" s="81"/>
    </row>
    <row r="278" spans="1:14" ht="29.25" x14ac:dyDescent="0.25">
      <c r="A278" s="222">
        <f t="shared" si="12"/>
        <v>2</v>
      </c>
      <c r="B278" s="17" t="s">
        <v>17</v>
      </c>
      <c r="C278" s="222" t="s">
        <v>18</v>
      </c>
      <c r="D278" s="31">
        <v>828</v>
      </c>
      <c r="E278" s="58">
        <v>4843</v>
      </c>
      <c r="F278" s="178">
        <f t="shared" ref="F278:F289" si="13">ROUND(D278*E278,0)</f>
        <v>4010004</v>
      </c>
      <c r="G278" s="81"/>
      <c r="M278" s="32"/>
      <c r="N278" s="3"/>
    </row>
    <row r="279" spans="1:14" x14ac:dyDescent="0.25">
      <c r="A279" s="222">
        <f t="shared" si="12"/>
        <v>3</v>
      </c>
      <c r="B279" s="188" t="s">
        <v>28</v>
      </c>
      <c r="C279" s="20"/>
      <c r="D279" s="20"/>
      <c r="E279" s="58"/>
      <c r="F279" s="178" t="s">
        <v>1</v>
      </c>
      <c r="G279" s="81"/>
    </row>
    <row r="280" spans="1:14" x14ac:dyDescent="0.25">
      <c r="A280" s="222">
        <f t="shared" si="12"/>
        <v>4</v>
      </c>
      <c r="B280" s="17" t="s">
        <v>29</v>
      </c>
      <c r="C280" s="222" t="s">
        <v>64</v>
      </c>
      <c r="D280" s="31">
        <v>400</v>
      </c>
      <c r="E280" s="58">
        <v>24440</v>
      </c>
      <c r="F280" s="178">
        <f t="shared" si="13"/>
        <v>9776000</v>
      </c>
      <c r="G280" s="81"/>
    </row>
    <row r="281" spans="1:14" x14ac:dyDescent="0.25">
      <c r="A281" s="222">
        <f t="shared" si="12"/>
        <v>5</v>
      </c>
      <c r="B281" s="17" t="s">
        <v>330</v>
      </c>
      <c r="C281" s="222" t="s">
        <v>64</v>
      </c>
      <c r="D281" s="31">
        <v>96</v>
      </c>
      <c r="E281" s="58">
        <v>43000</v>
      </c>
      <c r="F281" s="178">
        <f t="shared" si="13"/>
        <v>4128000</v>
      </c>
      <c r="G281" s="81"/>
    </row>
    <row r="282" spans="1:14" x14ac:dyDescent="0.25">
      <c r="A282" s="222">
        <f t="shared" si="12"/>
        <v>6</v>
      </c>
      <c r="B282" s="17" t="s">
        <v>331</v>
      </c>
      <c r="C282" s="222" t="s">
        <v>64</v>
      </c>
      <c r="D282" s="31">
        <v>96</v>
      </c>
      <c r="E282" s="58">
        <v>22000</v>
      </c>
      <c r="F282" s="178">
        <f t="shared" si="13"/>
        <v>2112000</v>
      </c>
      <c r="G282" s="81"/>
    </row>
    <row r="283" spans="1:14" x14ac:dyDescent="0.25">
      <c r="A283" s="222">
        <f t="shared" si="12"/>
        <v>7</v>
      </c>
      <c r="B283" s="188" t="s">
        <v>80</v>
      </c>
      <c r="C283" s="20"/>
      <c r="D283" s="20"/>
      <c r="E283" s="58"/>
      <c r="F283" s="178" t="s">
        <v>1</v>
      </c>
      <c r="G283" s="81"/>
    </row>
    <row r="284" spans="1:14" ht="57.75" x14ac:dyDescent="0.25">
      <c r="A284" s="222">
        <f t="shared" si="12"/>
        <v>8</v>
      </c>
      <c r="B284" s="17" t="s">
        <v>856</v>
      </c>
      <c r="C284" s="222" t="s">
        <v>18</v>
      </c>
      <c r="D284" s="31">
        <v>828</v>
      </c>
      <c r="E284" s="58">
        <v>62000</v>
      </c>
      <c r="F284" s="178">
        <f t="shared" si="13"/>
        <v>51336000</v>
      </c>
      <c r="G284" s="81"/>
    </row>
    <row r="285" spans="1:14" ht="29.25" x14ac:dyDescent="0.25">
      <c r="A285" s="222">
        <f t="shared" si="12"/>
        <v>9</v>
      </c>
      <c r="B285" s="17" t="s">
        <v>428</v>
      </c>
      <c r="C285" s="222" t="s">
        <v>37</v>
      </c>
      <c r="D285" s="31">
        <v>6</v>
      </c>
      <c r="E285" s="58">
        <v>410000</v>
      </c>
      <c r="F285" s="178">
        <f t="shared" si="13"/>
        <v>2460000</v>
      </c>
      <c r="G285" s="81"/>
    </row>
    <row r="286" spans="1:14" ht="43.5" x14ac:dyDescent="0.25">
      <c r="A286" s="222">
        <f t="shared" si="12"/>
        <v>10</v>
      </c>
      <c r="B286" s="17" t="s">
        <v>857</v>
      </c>
      <c r="C286" s="222" t="s">
        <v>37</v>
      </c>
      <c r="D286" s="31">
        <v>6</v>
      </c>
      <c r="E286" s="58">
        <v>390000</v>
      </c>
      <c r="F286" s="178">
        <f t="shared" si="13"/>
        <v>2340000</v>
      </c>
      <c r="G286" s="81"/>
    </row>
    <row r="287" spans="1:14" ht="43.5" x14ac:dyDescent="0.25">
      <c r="A287" s="222">
        <f t="shared" si="12"/>
        <v>11</v>
      </c>
      <c r="B287" s="17" t="s">
        <v>429</v>
      </c>
      <c r="C287" s="222" t="s">
        <v>37</v>
      </c>
      <c r="D287" s="31">
        <v>6</v>
      </c>
      <c r="E287" s="58">
        <v>465000</v>
      </c>
      <c r="F287" s="178">
        <f t="shared" si="13"/>
        <v>2790000</v>
      </c>
      <c r="G287" s="81"/>
    </row>
    <row r="288" spans="1:14" x14ac:dyDescent="0.25">
      <c r="A288" s="222">
        <f t="shared" si="12"/>
        <v>12</v>
      </c>
      <c r="B288" s="18" t="s">
        <v>43</v>
      </c>
      <c r="C288" s="20"/>
      <c r="D288" s="20"/>
      <c r="E288" s="58"/>
      <c r="F288" s="178">
        <f t="shared" si="13"/>
        <v>0</v>
      </c>
      <c r="G288" s="81"/>
    </row>
    <row r="289" spans="1:15" ht="29.25" x14ac:dyDescent="0.25">
      <c r="A289" s="222">
        <f t="shared" si="12"/>
        <v>13</v>
      </c>
      <c r="B289" s="17" t="s">
        <v>45</v>
      </c>
      <c r="C289" s="222" t="s">
        <v>64</v>
      </c>
      <c r="D289" s="31">
        <v>400</v>
      </c>
      <c r="E289" s="58">
        <v>20553</v>
      </c>
      <c r="F289" s="178">
        <f t="shared" si="13"/>
        <v>8221200</v>
      </c>
      <c r="G289" s="81"/>
    </row>
    <row r="290" spans="1:15" ht="42.75" x14ac:dyDescent="0.25">
      <c r="A290" s="222">
        <f t="shared" si="12"/>
        <v>14</v>
      </c>
      <c r="B290" s="9" t="s">
        <v>820</v>
      </c>
      <c r="C290" s="222" t="s">
        <v>55</v>
      </c>
      <c r="D290" s="31">
        <v>4</v>
      </c>
      <c r="E290" s="59">
        <f>1673138</f>
        <v>1673138</v>
      </c>
      <c r="F290" s="187">
        <f t="shared" ref="F290:F291" si="14">D290*E290</f>
        <v>6692552</v>
      </c>
      <c r="G290" s="81"/>
    </row>
    <row r="291" spans="1:15" ht="29.25" x14ac:dyDescent="0.25">
      <c r="A291" s="222">
        <f t="shared" si="12"/>
        <v>15</v>
      </c>
      <c r="B291" s="17" t="s">
        <v>819</v>
      </c>
      <c r="C291" s="222" t="s">
        <v>23</v>
      </c>
      <c r="D291" s="31">
        <v>1</v>
      </c>
      <c r="E291" s="58">
        <v>788768</v>
      </c>
      <c r="F291" s="187">
        <f t="shared" si="14"/>
        <v>788768</v>
      </c>
      <c r="G291" s="81"/>
    </row>
    <row r="292" spans="1:15" x14ac:dyDescent="0.25">
      <c r="A292" s="219"/>
      <c r="B292" s="18" t="s">
        <v>56</v>
      </c>
      <c r="C292" s="54"/>
      <c r="D292" s="130"/>
      <c r="E292" s="28"/>
      <c r="F292" s="28">
        <f>ROUND(F278+F280+F281+F282+F284+F285+F286+F287+F289+F290+F291,0)</f>
        <v>94654524</v>
      </c>
      <c r="G292" s="81"/>
      <c r="L292" s="32"/>
    </row>
    <row r="293" spans="1:15" x14ac:dyDescent="0.25">
      <c r="A293" s="19"/>
      <c r="B293" s="19" t="s">
        <v>60</v>
      </c>
      <c r="C293" s="19"/>
      <c r="D293" s="19"/>
      <c r="E293" s="19"/>
      <c r="F293" s="29">
        <f>ROUND(F292/1.3495,0)</f>
        <v>70140440</v>
      </c>
      <c r="G293" s="81"/>
    </row>
    <row r="294" spans="1:15" x14ac:dyDescent="0.25">
      <c r="A294" s="19"/>
      <c r="B294" s="19" t="s">
        <v>61</v>
      </c>
      <c r="C294" s="131">
        <v>0.24</v>
      </c>
      <c r="D294" s="19"/>
      <c r="E294" s="19"/>
      <c r="F294" s="29">
        <f>ROUND(F293*C294,0)</f>
        <v>16833706</v>
      </c>
      <c r="G294" s="81"/>
    </row>
    <row r="295" spans="1:15" x14ac:dyDescent="0.25">
      <c r="A295" s="19"/>
      <c r="B295" s="19" t="s">
        <v>57</v>
      </c>
      <c r="C295" s="131">
        <v>0.05</v>
      </c>
      <c r="D295" s="19"/>
      <c r="E295" s="19"/>
      <c r="F295" s="29">
        <f>ROUND(F293*C295,0)</f>
        <v>3507022</v>
      </c>
      <c r="G295" s="81"/>
    </row>
    <row r="296" spans="1:15" x14ac:dyDescent="0.25">
      <c r="A296" s="19"/>
      <c r="B296" s="19" t="s">
        <v>62</v>
      </c>
      <c r="C296" s="131">
        <v>0.05</v>
      </c>
      <c r="D296" s="19"/>
      <c r="E296" s="19"/>
      <c r="F296" s="29">
        <f>ROUND(F293*C296,0)</f>
        <v>3507022</v>
      </c>
      <c r="G296" s="81"/>
    </row>
    <row r="297" spans="1:15" x14ac:dyDescent="0.25">
      <c r="A297" s="19"/>
      <c r="B297" s="132" t="s">
        <v>63</v>
      </c>
      <c r="C297" s="133">
        <v>0.19</v>
      </c>
      <c r="D297" s="120"/>
      <c r="E297" s="120"/>
      <c r="F297" s="35">
        <f>ROUND(F296*19%,0)</f>
        <v>666334</v>
      </c>
      <c r="G297" s="81"/>
    </row>
    <row r="298" spans="1:15" x14ac:dyDescent="0.25">
      <c r="A298" s="19"/>
      <c r="B298" s="18" t="s">
        <v>56</v>
      </c>
      <c r="C298" s="19"/>
      <c r="D298" s="19"/>
      <c r="E298" s="19"/>
      <c r="F298" s="30">
        <f>SUM(F293:F297)</f>
        <v>94654524</v>
      </c>
      <c r="G298" s="81"/>
    </row>
    <row r="299" spans="1:15" x14ac:dyDescent="0.25">
      <c r="A299" s="81"/>
      <c r="B299" s="81"/>
      <c r="C299" s="81"/>
      <c r="D299" s="81"/>
      <c r="E299" s="81"/>
      <c r="F299" s="81"/>
      <c r="G299" s="81"/>
    </row>
    <row r="300" spans="1:15" x14ac:dyDescent="0.25">
      <c r="A300" s="81"/>
      <c r="B300" s="81"/>
      <c r="C300" s="81"/>
      <c r="D300" s="81"/>
      <c r="E300" s="81"/>
      <c r="F300" s="81"/>
      <c r="G300" s="81"/>
    </row>
    <row r="301" spans="1:15" ht="18" x14ac:dyDescent="0.25">
      <c r="A301" s="81"/>
      <c r="B301" s="301" t="s">
        <v>431</v>
      </c>
      <c r="C301" s="81"/>
      <c r="D301" s="81"/>
      <c r="E301" s="81"/>
      <c r="F301" s="137">
        <f>F292+F266+F219+F177+F136+F101</f>
        <v>405342297</v>
      </c>
      <c r="G301" s="182" t="s">
        <v>1</v>
      </c>
      <c r="H301" s="138"/>
      <c r="I301" s="140"/>
      <c r="J301" s="138"/>
      <c r="K301" s="139"/>
      <c r="L301" s="138"/>
      <c r="M301" s="138"/>
      <c r="O301" s="3" t="s">
        <v>1</v>
      </c>
    </row>
    <row r="302" spans="1:15" x14ac:dyDescent="0.25">
      <c r="A302" s="81"/>
      <c r="B302" s="81"/>
      <c r="C302" s="81"/>
      <c r="D302" s="81"/>
      <c r="E302" s="81"/>
      <c r="F302" s="81"/>
      <c r="G302" s="81"/>
      <c r="H302" s="2"/>
    </row>
    <row r="303" spans="1:15" x14ac:dyDescent="0.25">
      <c r="A303" s="81"/>
      <c r="B303" s="81"/>
      <c r="C303" s="81"/>
      <c r="D303" s="81"/>
      <c r="E303" s="81"/>
      <c r="F303" s="81"/>
      <c r="G303" s="81"/>
      <c r="H303" s="32"/>
      <c r="J303" s="32"/>
    </row>
    <row r="304" spans="1:15" x14ac:dyDescent="0.25">
      <c r="A304" s="425" t="s">
        <v>58</v>
      </c>
      <c r="B304" s="425"/>
      <c r="C304" s="302"/>
      <c r="D304" s="81"/>
      <c r="E304" s="81"/>
      <c r="F304" s="81"/>
      <c r="G304" s="81"/>
    </row>
    <row r="305" spans="1:7" x14ac:dyDescent="0.25">
      <c r="A305" s="81"/>
      <c r="B305" s="81"/>
      <c r="C305" s="81"/>
      <c r="D305" s="81"/>
      <c r="E305" s="81"/>
      <c r="F305" s="81"/>
      <c r="G305" s="81"/>
    </row>
    <row r="306" spans="1:7" ht="47.25" customHeight="1" x14ac:dyDescent="0.25">
      <c r="A306" s="473" t="s">
        <v>1024</v>
      </c>
      <c r="B306" s="473"/>
      <c r="C306" s="473"/>
      <c r="D306" s="473"/>
      <c r="E306" s="473"/>
      <c r="F306" s="473"/>
      <c r="G306" s="81"/>
    </row>
    <row r="307" spans="1:7" x14ac:dyDescent="0.25">
      <c r="A307" s="474" t="s">
        <v>10</v>
      </c>
      <c r="B307" s="474" t="s">
        <v>0</v>
      </c>
      <c r="C307" s="127" t="s">
        <v>11</v>
      </c>
      <c r="D307" s="475" t="s">
        <v>12</v>
      </c>
      <c r="E307" s="476"/>
      <c r="F307" s="477"/>
      <c r="G307" s="81"/>
    </row>
    <row r="308" spans="1:7" x14ac:dyDescent="0.25">
      <c r="A308" s="474"/>
      <c r="B308" s="474"/>
      <c r="C308" s="127"/>
      <c r="D308" s="127" t="s">
        <v>13</v>
      </c>
      <c r="E308" s="127" t="s">
        <v>14</v>
      </c>
      <c r="F308" s="127" t="s">
        <v>15</v>
      </c>
      <c r="G308" s="81"/>
    </row>
    <row r="309" spans="1:7" x14ac:dyDescent="0.25">
      <c r="A309" s="222">
        <f t="shared" ref="A309:A344" si="15">A308+1</f>
        <v>1</v>
      </c>
      <c r="B309" s="303" t="s">
        <v>16</v>
      </c>
      <c r="C309" s="127"/>
      <c r="D309" s="127"/>
      <c r="E309" s="127"/>
      <c r="F309" s="304"/>
      <c r="G309" s="81"/>
    </row>
    <row r="310" spans="1:7" x14ac:dyDescent="0.25">
      <c r="A310" s="222">
        <f t="shared" si="15"/>
        <v>2</v>
      </c>
      <c r="B310" s="305" t="s">
        <v>73</v>
      </c>
      <c r="C310" s="126" t="s">
        <v>18</v>
      </c>
      <c r="D310" s="126">
        <v>76</v>
      </c>
      <c r="E310" s="306">
        <v>4800</v>
      </c>
      <c r="F310" s="306">
        <f>+ROUND(E310*D310,0)</f>
        <v>364800</v>
      </c>
      <c r="G310" s="81"/>
    </row>
    <row r="311" spans="1:7" ht="28.5" x14ac:dyDescent="0.25">
      <c r="A311" s="222">
        <f t="shared" si="15"/>
        <v>3</v>
      </c>
      <c r="B311" s="305" t="s">
        <v>781</v>
      </c>
      <c r="C311" s="126" t="s">
        <v>18</v>
      </c>
      <c r="D311" s="126">
        <v>180</v>
      </c>
      <c r="E311" s="306">
        <v>9600</v>
      </c>
      <c r="F311" s="306">
        <f t="shared" ref="F311:F343" si="16">+ROUND(E311*D311,0)</f>
        <v>1728000</v>
      </c>
      <c r="G311" s="81"/>
    </row>
    <row r="312" spans="1:7" ht="42.75" x14ac:dyDescent="0.25">
      <c r="A312" s="222">
        <f t="shared" si="15"/>
        <v>4</v>
      </c>
      <c r="B312" s="307" t="s">
        <v>782</v>
      </c>
      <c r="C312" s="126" t="s">
        <v>120</v>
      </c>
      <c r="D312" s="126">
        <v>3</v>
      </c>
      <c r="E312" s="306">
        <v>166347</v>
      </c>
      <c r="F312" s="306">
        <f t="shared" si="16"/>
        <v>499041</v>
      </c>
      <c r="G312" s="81"/>
    </row>
    <row r="313" spans="1:7" ht="28.5" x14ac:dyDescent="0.25">
      <c r="A313" s="222">
        <f t="shared" si="15"/>
        <v>5</v>
      </c>
      <c r="B313" s="307" t="s">
        <v>783</v>
      </c>
      <c r="C313" s="126" t="s">
        <v>120</v>
      </c>
      <c r="D313" s="126">
        <v>1</v>
      </c>
      <c r="E313" s="306">
        <v>686184</v>
      </c>
      <c r="F313" s="306">
        <f t="shared" si="16"/>
        <v>686184</v>
      </c>
      <c r="G313" s="81"/>
    </row>
    <row r="314" spans="1:7" x14ac:dyDescent="0.25">
      <c r="A314" s="222">
        <f t="shared" si="15"/>
        <v>6</v>
      </c>
      <c r="B314" s="303" t="s">
        <v>784</v>
      </c>
      <c r="C314" s="304"/>
      <c r="D314" s="127"/>
      <c r="E314" s="306"/>
      <c r="F314" s="306">
        <f t="shared" si="16"/>
        <v>0</v>
      </c>
      <c r="G314" s="81"/>
    </row>
    <row r="315" spans="1:7" ht="49.5" customHeight="1" x14ac:dyDescent="0.25">
      <c r="A315" s="222">
        <f t="shared" si="15"/>
        <v>7</v>
      </c>
      <c r="B315" s="308" t="s">
        <v>785</v>
      </c>
      <c r="C315" s="126" t="s">
        <v>18</v>
      </c>
      <c r="D315" s="126">
        <v>130.4</v>
      </c>
      <c r="E315" s="306">
        <v>6447</v>
      </c>
      <c r="F315" s="306">
        <f t="shared" si="16"/>
        <v>840689</v>
      </c>
      <c r="G315" s="81"/>
    </row>
    <row r="316" spans="1:7" ht="57" x14ac:dyDescent="0.25">
      <c r="A316" s="222">
        <f t="shared" si="15"/>
        <v>8</v>
      </c>
      <c r="B316" s="308" t="s">
        <v>786</v>
      </c>
      <c r="C316" s="126" t="s">
        <v>115</v>
      </c>
      <c r="D316" s="126">
        <v>46.72</v>
      </c>
      <c r="E316" s="306">
        <v>85500</v>
      </c>
      <c r="F316" s="306">
        <f t="shared" si="16"/>
        <v>3994560</v>
      </c>
      <c r="G316" s="81"/>
    </row>
    <row r="317" spans="1:7" x14ac:dyDescent="0.25">
      <c r="A317" s="222">
        <f t="shared" si="15"/>
        <v>9</v>
      </c>
      <c r="B317" s="309" t="s">
        <v>28</v>
      </c>
      <c r="C317" s="304"/>
      <c r="D317" s="127"/>
      <c r="E317" s="306"/>
      <c r="F317" s="306" t="s">
        <v>1</v>
      </c>
      <c r="G317" s="81"/>
    </row>
    <row r="318" spans="1:7" x14ac:dyDescent="0.25">
      <c r="A318" s="222">
        <f t="shared" si="15"/>
        <v>10</v>
      </c>
      <c r="B318" s="15" t="s">
        <v>29</v>
      </c>
      <c r="C318" s="126" t="s">
        <v>71</v>
      </c>
      <c r="D318" s="126">
        <f>76*0.9*1.7</f>
        <v>116.28</v>
      </c>
      <c r="E318" s="306">
        <v>24400</v>
      </c>
      <c r="F318" s="306">
        <f t="shared" si="16"/>
        <v>2837232</v>
      </c>
      <c r="G318" s="81"/>
    </row>
    <row r="319" spans="1:7" ht="44.25" customHeight="1" x14ac:dyDescent="0.25">
      <c r="A319" s="222">
        <f t="shared" si="15"/>
        <v>11</v>
      </c>
      <c r="B319" s="15" t="s">
        <v>787</v>
      </c>
      <c r="C319" s="126" t="s">
        <v>71</v>
      </c>
      <c r="D319" s="126">
        <f>76*0.3*0.9</f>
        <v>20.52</v>
      </c>
      <c r="E319" s="306">
        <v>30722</v>
      </c>
      <c r="F319" s="306">
        <f t="shared" si="16"/>
        <v>630415</v>
      </c>
      <c r="G319" s="81"/>
    </row>
    <row r="320" spans="1:7" ht="28.5" x14ac:dyDescent="0.25">
      <c r="A320" s="222">
        <f t="shared" si="15"/>
        <v>12</v>
      </c>
      <c r="B320" s="15" t="s">
        <v>279</v>
      </c>
      <c r="C320" s="126" t="s">
        <v>71</v>
      </c>
      <c r="D320" s="126">
        <f>+D319+D318+D316</f>
        <v>183.52</v>
      </c>
      <c r="E320" s="306">
        <f>29620*1.07</f>
        <v>31693.4</v>
      </c>
      <c r="F320" s="306">
        <f t="shared" si="16"/>
        <v>5816373</v>
      </c>
      <c r="G320" s="81"/>
    </row>
    <row r="321" spans="1:7" ht="30" x14ac:dyDescent="0.25">
      <c r="A321" s="222">
        <f t="shared" si="15"/>
        <v>13</v>
      </c>
      <c r="B321" s="309" t="s">
        <v>788</v>
      </c>
      <c r="C321" s="310"/>
      <c r="D321" s="128"/>
      <c r="E321" s="311"/>
      <c r="F321" s="311" t="s">
        <v>1</v>
      </c>
      <c r="G321" s="81"/>
    </row>
    <row r="322" spans="1:7" x14ac:dyDescent="0.25">
      <c r="A322" s="222">
        <f t="shared" si="15"/>
        <v>14</v>
      </c>
      <c r="B322" s="15" t="s">
        <v>789</v>
      </c>
      <c r="C322" s="129" t="s">
        <v>18</v>
      </c>
      <c r="D322" s="129">
        <v>78</v>
      </c>
      <c r="E322" s="311">
        <v>38560</v>
      </c>
      <c r="F322" s="311">
        <f t="shared" si="16"/>
        <v>3007680</v>
      </c>
      <c r="G322" s="81"/>
    </row>
    <row r="323" spans="1:7" x14ac:dyDescent="0.25">
      <c r="A323" s="222">
        <f t="shared" si="15"/>
        <v>15</v>
      </c>
      <c r="B323" s="15" t="s">
        <v>304</v>
      </c>
      <c r="C323" s="126" t="s">
        <v>18</v>
      </c>
      <c r="D323" s="126">
        <f>17*5</f>
        <v>85</v>
      </c>
      <c r="E323" s="306">
        <v>12500</v>
      </c>
      <c r="F323" s="306">
        <f t="shared" si="16"/>
        <v>1062500</v>
      </c>
      <c r="G323" s="81"/>
    </row>
    <row r="324" spans="1:7" ht="28.5" x14ac:dyDescent="0.25">
      <c r="A324" s="222">
        <f t="shared" si="15"/>
        <v>16</v>
      </c>
      <c r="B324" s="15" t="s">
        <v>790</v>
      </c>
      <c r="C324" s="126" t="s">
        <v>120</v>
      </c>
      <c r="D324" s="126">
        <v>17</v>
      </c>
      <c r="E324" s="306">
        <v>46500</v>
      </c>
      <c r="F324" s="306">
        <f t="shared" si="16"/>
        <v>790500</v>
      </c>
      <c r="G324" s="81"/>
    </row>
    <row r="325" spans="1:7" ht="42.75" x14ac:dyDescent="0.25">
      <c r="A325" s="222">
        <f t="shared" si="15"/>
        <v>17</v>
      </c>
      <c r="B325" s="15" t="s">
        <v>40</v>
      </c>
      <c r="C325" s="126" t="s">
        <v>120</v>
      </c>
      <c r="D325" s="126">
        <v>17</v>
      </c>
      <c r="E325" s="306">
        <v>293500</v>
      </c>
      <c r="F325" s="306">
        <f t="shared" si="16"/>
        <v>4989500</v>
      </c>
      <c r="G325" s="81"/>
    </row>
    <row r="326" spans="1:7" x14ac:dyDescent="0.25">
      <c r="A326" s="222">
        <f t="shared" si="15"/>
        <v>18</v>
      </c>
      <c r="B326" s="15" t="s">
        <v>38</v>
      </c>
      <c r="C326" s="126" t="s">
        <v>120</v>
      </c>
      <c r="D326" s="126">
        <v>2</v>
      </c>
      <c r="E326" s="306">
        <v>356000</v>
      </c>
      <c r="F326" s="306">
        <f t="shared" si="16"/>
        <v>712000</v>
      </c>
      <c r="G326" s="81"/>
    </row>
    <row r="327" spans="1:7" ht="57" x14ac:dyDescent="0.25">
      <c r="A327" s="222">
        <f t="shared" si="15"/>
        <v>19</v>
      </c>
      <c r="B327" s="15" t="s">
        <v>35</v>
      </c>
      <c r="C327" s="126" t="s">
        <v>18</v>
      </c>
      <c r="D327" s="126">
        <v>5</v>
      </c>
      <c r="E327" s="306">
        <v>418500</v>
      </c>
      <c r="F327" s="306">
        <f t="shared" si="16"/>
        <v>2092500</v>
      </c>
      <c r="G327" s="81"/>
    </row>
    <row r="328" spans="1:7" ht="42.75" x14ac:dyDescent="0.25">
      <c r="A328" s="222">
        <f t="shared" si="15"/>
        <v>20</v>
      </c>
      <c r="B328" s="15" t="s">
        <v>791</v>
      </c>
      <c r="C328" s="126" t="s">
        <v>120</v>
      </c>
      <c r="D328" s="126">
        <v>2</v>
      </c>
      <c r="E328" s="306">
        <v>658000</v>
      </c>
      <c r="F328" s="306">
        <f t="shared" si="16"/>
        <v>1316000</v>
      </c>
      <c r="G328" s="81"/>
    </row>
    <row r="329" spans="1:7" x14ac:dyDescent="0.25">
      <c r="A329" s="222">
        <f t="shared" si="15"/>
        <v>21</v>
      </c>
      <c r="B329" s="305" t="s">
        <v>792</v>
      </c>
      <c r="C329" s="126" t="s">
        <v>120</v>
      </c>
      <c r="D329" s="126">
        <v>2</v>
      </c>
      <c r="E329" s="306">
        <v>82134</v>
      </c>
      <c r="F329" s="306">
        <f t="shared" si="16"/>
        <v>164268</v>
      </c>
      <c r="G329" s="81"/>
    </row>
    <row r="330" spans="1:7" x14ac:dyDescent="0.25">
      <c r="A330" s="222">
        <f t="shared" si="15"/>
        <v>22</v>
      </c>
      <c r="B330" s="303" t="s">
        <v>43</v>
      </c>
      <c r="C330" s="304"/>
      <c r="D330" s="127"/>
      <c r="E330" s="306"/>
      <c r="F330" s="306" t="s">
        <v>1</v>
      </c>
      <c r="G330" s="81"/>
    </row>
    <row r="331" spans="1:7" x14ac:dyDescent="0.25">
      <c r="A331" s="222">
        <f t="shared" si="15"/>
        <v>23</v>
      </c>
      <c r="B331" s="305" t="s">
        <v>44</v>
      </c>
      <c r="C331" s="126" t="s">
        <v>115</v>
      </c>
      <c r="D331" s="126">
        <v>13</v>
      </c>
      <c r="E331" s="306">
        <v>112000</v>
      </c>
      <c r="F331" s="306">
        <f t="shared" si="16"/>
        <v>1456000</v>
      </c>
      <c r="G331" s="81"/>
    </row>
    <row r="332" spans="1:7" x14ac:dyDescent="0.25">
      <c r="A332" s="222">
        <f t="shared" si="15"/>
        <v>24</v>
      </c>
      <c r="B332" s="305" t="s">
        <v>793</v>
      </c>
      <c r="C332" s="126" t="s">
        <v>115</v>
      </c>
      <c r="D332" s="126">
        <v>116.28</v>
      </c>
      <c r="E332" s="306">
        <v>23500</v>
      </c>
      <c r="F332" s="306">
        <f t="shared" si="16"/>
        <v>2732580</v>
      </c>
      <c r="G332" s="81"/>
    </row>
    <row r="333" spans="1:7" x14ac:dyDescent="0.25">
      <c r="A333" s="222">
        <f t="shared" si="15"/>
        <v>25</v>
      </c>
      <c r="B333" s="305" t="s">
        <v>794</v>
      </c>
      <c r="C333" s="126" t="s">
        <v>115</v>
      </c>
      <c r="D333" s="126">
        <v>80</v>
      </c>
      <c r="E333" s="306">
        <v>38841</v>
      </c>
      <c r="F333" s="306">
        <f t="shared" si="16"/>
        <v>3107280</v>
      </c>
      <c r="G333" s="81"/>
    </row>
    <row r="334" spans="1:7" ht="28.5" x14ac:dyDescent="0.25">
      <c r="A334" s="222">
        <f t="shared" si="15"/>
        <v>26</v>
      </c>
      <c r="B334" s="305" t="s">
        <v>795</v>
      </c>
      <c r="C334" s="126" t="s">
        <v>115</v>
      </c>
      <c r="D334" s="126">
        <f>3.2*0.2*76</f>
        <v>48.640000000000008</v>
      </c>
      <c r="E334" s="306">
        <v>139500</v>
      </c>
      <c r="F334" s="306">
        <f t="shared" si="16"/>
        <v>6785280</v>
      </c>
      <c r="G334" s="81"/>
    </row>
    <row r="335" spans="1:7" x14ac:dyDescent="0.25">
      <c r="A335" s="222">
        <f t="shared" si="15"/>
        <v>27</v>
      </c>
      <c r="B335" s="303" t="s">
        <v>48</v>
      </c>
      <c r="C335" s="304"/>
      <c r="D335" s="127"/>
      <c r="E335" s="306"/>
      <c r="F335" s="306" t="s">
        <v>1</v>
      </c>
      <c r="G335" s="81"/>
    </row>
    <row r="336" spans="1:7" ht="28.5" x14ac:dyDescent="0.25">
      <c r="A336" s="222">
        <f t="shared" si="15"/>
        <v>28</v>
      </c>
      <c r="B336" s="305" t="s">
        <v>796</v>
      </c>
      <c r="C336" s="126" t="s">
        <v>115</v>
      </c>
      <c r="D336" s="126">
        <f>73*3.2*0.2</f>
        <v>46.720000000000006</v>
      </c>
      <c r="E336" s="306">
        <v>761500</v>
      </c>
      <c r="F336" s="306">
        <f t="shared" si="16"/>
        <v>35577280</v>
      </c>
      <c r="G336" s="81"/>
    </row>
    <row r="337" spans="1:7" ht="42.75" x14ac:dyDescent="0.25">
      <c r="A337" s="222">
        <f t="shared" si="15"/>
        <v>29</v>
      </c>
      <c r="B337" s="305" t="s">
        <v>797</v>
      </c>
      <c r="C337" s="126" t="s">
        <v>115</v>
      </c>
      <c r="D337" s="126">
        <v>1</v>
      </c>
      <c r="E337" s="306">
        <v>565000</v>
      </c>
      <c r="F337" s="306">
        <f t="shared" si="16"/>
        <v>565000</v>
      </c>
      <c r="G337" s="81"/>
    </row>
    <row r="338" spans="1:7" ht="42.75" x14ac:dyDescent="0.25">
      <c r="A338" s="222">
        <f t="shared" si="15"/>
        <v>30</v>
      </c>
      <c r="B338" s="305" t="s">
        <v>798</v>
      </c>
      <c r="C338" s="126" t="s">
        <v>115</v>
      </c>
      <c r="D338" s="126">
        <v>5</v>
      </c>
      <c r="E338" s="306">
        <v>1250000</v>
      </c>
      <c r="F338" s="306">
        <f t="shared" si="16"/>
        <v>6250000</v>
      </c>
      <c r="G338" s="81"/>
    </row>
    <row r="339" spans="1:7" ht="28.5" x14ac:dyDescent="0.25">
      <c r="A339" s="222">
        <f t="shared" si="15"/>
        <v>31</v>
      </c>
      <c r="B339" s="305" t="s">
        <v>799</v>
      </c>
      <c r="C339" s="126" t="s">
        <v>18</v>
      </c>
      <c r="D339" s="126">
        <v>70</v>
      </c>
      <c r="E339" s="306">
        <v>56500</v>
      </c>
      <c r="F339" s="306">
        <f t="shared" si="16"/>
        <v>3955000</v>
      </c>
      <c r="G339" s="81"/>
    </row>
    <row r="340" spans="1:7" x14ac:dyDescent="0.25">
      <c r="A340" s="222">
        <f t="shared" si="15"/>
        <v>32</v>
      </c>
      <c r="B340" s="303" t="s">
        <v>800</v>
      </c>
      <c r="C340" s="304"/>
      <c r="D340" s="127"/>
      <c r="E340" s="306"/>
      <c r="F340" s="306">
        <f t="shared" si="16"/>
        <v>0</v>
      </c>
      <c r="G340" s="81"/>
    </row>
    <row r="341" spans="1:7" ht="28.5" x14ac:dyDescent="0.25">
      <c r="A341" s="222">
        <f t="shared" si="15"/>
        <v>33</v>
      </c>
      <c r="B341" s="305" t="s">
        <v>801</v>
      </c>
      <c r="C341" s="126" t="s">
        <v>141</v>
      </c>
      <c r="D341" s="126">
        <v>270</v>
      </c>
      <c r="E341" s="306">
        <v>5500</v>
      </c>
      <c r="F341" s="306">
        <f t="shared" si="16"/>
        <v>1485000</v>
      </c>
      <c r="G341" s="81"/>
    </row>
    <row r="342" spans="1:7" ht="28.5" x14ac:dyDescent="0.25">
      <c r="A342" s="222">
        <f t="shared" si="15"/>
        <v>34</v>
      </c>
      <c r="B342" s="305" t="s">
        <v>802</v>
      </c>
      <c r="C342" s="126" t="s">
        <v>20</v>
      </c>
      <c r="D342" s="126">
        <v>30</v>
      </c>
      <c r="E342" s="306">
        <v>12500</v>
      </c>
      <c r="F342" s="306">
        <f t="shared" si="16"/>
        <v>375000</v>
      </c>
      <c r="G342" s="81"/>
    </row>
    <row r="343" spans="1:7" ht="99.75" x14ac:dyDescent="0.25">
      <c r="A343" s="222">
        <f t="shared" si="15"/>
        <v>35</v>
      </c>
      <c r="B343" s="305" t="s">
        <v>803</v>
      </c>
      <c r="C343" s="126" t="s">
        <v>18</v>
      </c>
      <c r="D343" s="126">
        <v>20</v>
      </c>
      <c r="E343" s="306">
        <v>245000</v>
      </c>
      <c r="F343" s="306">
        <f t="shared" si="16"/>
        <v>4900000</v>
      </c>
      <c r="G343" s="81"/>
    </row>
    <row r="344" spans="1:7" ht="42.75" x14ac:dyDescent="0.25">
      <c r="A344" s="222">
        <f t="shared" si="15"/>
        <v>36</v>
      </c>
      <c r="B344" s="9" t="s">
        <v>820</v>
      </c>
      <c r="C344" s="222" t="s">
        <v>55</v>
      </c>
      <c r="D344" s="31">
        <v>1</v>
      </c>
      <c r="E344" s="59">
        <f>1673138</f>
        <v>1673138</v>
      </c>
      <c r="F344" s="145">
        <f t="shared" ref="F344" si="17">D344*E344</f>
        <v>1673138</v>
      </c>
      <c r="G344" s="81"/>
    </row>
    <row r="345" spans="1:7" x14ac:dyDescent="0.25">
      <c r="A345" s="219"/>
      <c r="B345" s="18" t="s">
        <v>56</v>
      </c>
      <c r="C345" s="54"/>
      <c r="D345" s="130"/>
      <c r="E345" s="28"/>
      <c r="F345" s="79">
        <f>ROUND(F343+F342+F341+F339+F338+F337+F336+F334+F333+F332+F331+F329+F328+F327+F326+F325+F324+F323+F322+F320+F319+F318+F316+F315+F313+F312+F311+F310+F344,0)</f>
        <v>100393800</v>
      </c>
      <c r="G345" s="81"/>
    </row>
    <row r="346" spans="1:7" x14ac:dyDescent="0.25">
      <c r="A346" s="19"/>
      <c r="B346" s="19" t="s">
        <v>60</v>
      </c>
      <c r="C346" s="19"/>
      <c r="D346" s="19"/>
      <c r="E346" s="19"/>
      <c r="F346" s="29">
        <f>ROUND(F345/1.3495,0)</f>
        <v>74393331</v>
      </c>
      <c r="G346" s="81"/>
    </row>
    <row r="347" spans="1:7" x14ac:dyDescent="0.25">
      <c r="A347" s="19"/>
      <c r="B347" s="19" t="s">
        <v>61</v>
      </c>
      <c r="C347" s="131">
        <v>0.24</v>
      </c>
      <c r="D347" s="19"/>
      <c r="E347" s="19"/>
      <c r="F347" s="29">
        <f>ROUND(F346*C347,0)</f>
        <v>17854399</v>
      </c>
      <c r="G347" s="81"/>
    </row>
    <row r="348" spans="1:7" x14ac:dyDescent="0.25">
      <c r="A348" s="19"/>
      <c r="B348" s="19" t="s">
        <v>57</v>
      </c>
      <c r="C348" s="131">
        <v>0.05</v>
      </c>
      <c r="D348" s="19"/>
      <c r="E348" s="19"/>
      <c r="F348" s="29">
        <f>ROUND(F346*C348,0)</f>
        <v>3719667</v>
      </c>
      <c r="G348" s="81"/>
    </row>
    <row r="349" spans="1:7" x14ac:dyDescent="0.25">
      <c r="A349" s="19"/>
      <c r="B349" s="19" t="s">
        <v>62</v>
      </c>
      <c r="C349" s="131">
        <v>0.05</v>
      </c>
      <c r="D349" s="19"/>
      <c r="E349" s="19"/>
      <c r="F349" s="29">
        <f>ROUND(F346*C349,0)</f>
        <v>3719667</v>
      </c>
      <c r="G349" s="81"/>
    </row>
    <row r="350" spans="1:7" x14ac:dyDescent="0.25">
      <c r="A350" s="19"/>
      <c r="B350" s="132" t="s">
        <v>63</v>
      </c>
      <c r="C350" s="133">
        <v>0.19</v>
      </c>
      <c r="D350" s="120"/>
      <c r="E350" s="120"/>
      <c r="F350" s="35">
        <f>ROUND(F349*19%,0)</f>
        <v>706737</v>
      </c>
      <c r="G350" s="81"/>
    </row>
    <row r="351" spans="1:7" x14ac:dyDescent="0.25">
      <c r="A351" s="19"/>
      <c r="B351" s="18" t="s">
        <v>56</v>
      </c>
      <c r="C351" s="19"/>
      <c r="D351" s="19"/>
      <c r="E351" s="19"/>
      <c r="F351" s="30">
        <f>SUM(F346:F350)</f>
        <v>100393801</v>
      </c>
      <c r="G351" s="81"/>
    </row>
    <row r="352" spans="1:7" x14ac:dyDescent="0.25">
      <c r="A352" s="81"/>
      <c r="B352" s="81"/>
      <c r="C352" s="81"/>
      <c r="D352" s="81"/>
      <c r="E352" s="81"/>
      <c r="F352" s="81"/>
      <c r="G352" s="81"/>
    </row>
    <row r="353" spans="1:9" x14ac:dyDescent="0.25">
      <c r="A353" s="81"/>
      <c r="B353" s="299" t="s">
        <v>804</v>
      </c>
      <c r="C353" s="299"/>
      <c r="D353" s="299"/>
      <c r="E353" s="299"/>
      <c r="F353" s="137">
        <f>F351</f>
        <v>100393801</v>
      </c>
      <c r="G353" s="81"/>
    </row>
    <row r="354" spans="1:9" x14ac:dyDescent="0.25">
      <c r="A354" s="81"/>
      <c r="B354" s="81"/>
      <c r="C354" s="81"/>
      <c r="D354" s="81"/>
      <c r="E354" s="81"/>
      <c r="F354" s="81"/>
      <c r="G354" s="81"/>
    </row>
    <row r="355" spans="1:9" x14ac:dyDescent="0.25">
      <c r="A355" s="81"/>
      <c r="B355" s="81"/>
      <c r="C355" s="81"/>
      <c r="D355" s="81"/>
      <c r="E355" s="81"/>
      <c r="F355" s="81"/>
      <c r="G355" s="81"/>
    </row>
    <row r="356" spans="1:9" x14ac:dyDescent="0.25">
      <c r="A356" s="81"/>
      <c r="B356" s="81"/>
      <c r="C356" s="81"/>
      <c r="D356" s="81"/>
      <c r="E356" s="81"/>
      <c r="F356" s="81"/>
      <c r="G356" s="81"/>
    </row>
    <row r="357" spans="1:9" x14ac:dyDescent="0.25">
      <c r="A357" s="81"/>
      <c r="B357" s="471" t="s">
        <v>806</v>
      </c>
      <c r="C357" s="471"/>
      <c r="D357" s="81"/>
      <c r="E357" s="81"/>
      <c r="F357" s="81"/>
      <c r="G357" s="81"/>
    </row>
    <row r="358" spans="1:9" x14ac:dyDescent="0.25">
      <c r="A358" s="81"/>
      <c r="B358" s="81"/>
      <c r="C358" s="81"/>
      <c r="D358" s="81"/>
      <c r="E358" s="81"/>
      <c r="F358" s="81"/>
      <c r="G358" s="81"/>
    </row>
    <row r="359" spans="1:9" ht="35.25" customHeight="1" x14ac:dyDescent="0.25">
      <c r="A359" s="81"/>
      <c r="B359" s="81"/>
      <c r="C359" s="81"/>
      <c r="D359" s="81"/>
      <c r="E359" s="81"/>
      <c r="F359" s="81"/>
      <c r="G359" s="81"/>
    </row>
    <row r="360" spans="1:9" ht="51" customHeight="1" x14ac:dyDescent="0.25">
      <c r="A360" s="468" t="s">
        <v>996</v>
      </c>
      <c r="B360" s="469"/>
      <c r="C360" s="469"/>
      <c r="D360" s="469"/>
      <c r="E360" s="469"/>
      <c r="F360" s="469"/>
      <c r="G360" s="81"/>
    </row>
    <row r="361" spans="1:9" x14ac:dyDescent="0.25">
      <c r="A361" s="96"/>
      <c r="B361" s="96"/>
      <c r="C361" s="96"/>
      <c r="D361" s="97"/>
      <c r="E361" s="98"/>
      <c r="F361" s="98"/>
      <c r="G361" s="81"/>
    </row>
    <row r="362" spans="1:9" x14ac:dyDescent="0.25">
      <c r="A362" s="470" t="s">
        <v>10</v>
      </c>
      <c r="B362" s="470" t="s">
        <v>0</v>
      </c>
      <c r="C362" s="470" t="s">
        <v>11</v>
      </c>
      <c r="D362" s="470" t="s">
        <v>12</v>
      </c>
      <c r="E362" s="470"/>
      <c r="F362" s="470"/>
      <c r="G362" s="81"/>
      <c r="H362" s="211"/>
      <c r="I362" s="211"/>
    </row>
    <row r="363" spans="1:9" x14ac:dyDescent="0.25">
      <c r="A363" s="470"/>
      <c r="B363" s="470"/>
      <c r="C363" s="470"/>
      <c r="D363" s="99" t="s">
        <v>13</v>
      </c>
      <c r="E363" s="100" t="s">
        <v>14</v>
      </c>
      <c r="F363" s="100" t="s">
        <v>15</v>
      </c>
      <c r="G363" s="81"/>
      <c r="H363" s="211"/>
      <c r="I363" s="211"/>
    </row>
    <row r="364" spans="1:9" x14ac:dyDescent="0.25">
      <c r="A364" s="222">
        <f t="shared" ref="A364:A402" si="18">A363+1</f>
        <v>1</v>
      </c>
      <c r="B364" s="113" t="s">
        <v>16</v>
      </c>
      <c r="C364" s="221"/>
      <c r="D364" s="99"/>
      <c r="E364" s="100"/>
      <c r="F364" s="104"/>
      <c r="G364" s="81"/>
      <c r="H364" s="211"/>
      <c r="I364" s="211"/>
    </row>
    <row r="365" spans="1:9" ht="29.25" x14ac:dyDescent="0.25">
      <c r="A365" s="222">
        <f t="shared" si="18"/>
        <v>2</v>
      </c>
      <c r="B365" s="101" t="s">
        <v>698</v>
      </c>
      <c r="C365" s="102" t="s">
        <v>18</v>
      </c>
      <c r="D365" s="103">
        <v>138</v>
      </c>
      <c r="E365" s="199">
        <f>ROUND(4867*1.045,0)</f>
        <v>5086</v>
      </c>
      <c r="F365" s="200">
        <f>ROUND((D365*E365),0)</f>
        <v>701868</v>
      </c>
      <c r="G365" s="81"/>
      <c r="H365" s="212"/>
      <c r="I365" s="212"/>
    </row>
    <row r="366" spans="1:9" ht="43.5" x14ac:dyDescent="0.25">
      <c r="A366" s="222">
        <f t="shared" si="18"/>
        <v>3</v>
      </c>
      <c r="B366" s="101" t="s">
        <v>21</v>
      </c>
      <c r="C366" s="102" t="s">
        <v>18</v>
      </c>
      <c r="D366" s="103">
        <v>138</v>
      </c>
      <c r="E366" s="150">
        <f>ROUND(9200*1.045,0)</f>
        <v>9614</v>
      </c>
      <c r="F366" s="200">
        <f>ROUND((D366*E366),0)</f>
        <v>1326732</v>
      </c>
      <c r="G366" s="81"/>
      <c r="H366" s="212"/>
      <c r="I366" s="212"/>
    </row>
    <row r="367" spans="1:9" ht="42.75" x14ac:dyDescent="0.25">
      <c r="A367" s="222">
        <f t="shared" si="18"/>
        <v>4</v>
      </c>
      <c r="B367" s="105" t="s">
        <v>109</v>
      </c>
      <c r="C367" s="102" t="s">
        <v>23</v>
      </c>
      <c r="D367" s="103">
        <v>2</v>
      </c>
      <c r="E367" s="392">
        <f>ROUND(171600*1.045,0)</f>
        <v>179322</v>
      </c>
      <c r="F367" s="200">
        <f>ROUND((D367*E367),0)</f>
        <v>358644</v>
      </c>
      <c r="G367" s="81"/>
      <c r="H367" s="212"/>
      <c r="I367" s="212"/>
    </row>
    <row r="368" spans="1:9" x14ac:dyDescent="0.25">
      <c r="A368" s="222">
        <f t="shared" si="18"/>
        <v>5</v>
      </c>
      <c r="B368" s="116" t="s">
        <v>25</v>
      </c>
      <c r="C368" s="108"/>
      <c r="D368" s="99"/>
      <c r="E368" s="203"/>
      <c r="F368" s="200"/>
      <c r="G368" s="81"/>
      <c r="H368" s="212"/>
      <c r="I368" s="212"/>
    </row>
    <row r="369" spans="1:9" ht="28.5" x14ac:dyDescent="0.25">
      <c r="A369" s="222">
        <f t="shared" si="18"/>
        <v>6</v>
      </c>
      <c r="B369" s="115" t="s">
        <v>110</v>
      </c>
      <c r="C369" s="102" t="s">
        <v>115</v>
      </c>
      <c r="D369" s="103">
        <v>54</v>
      </c>
      <c r="E369" s="392">
        <f>ROUND(83980*1.045,0)</f>
        <v>87759</v>
      </c>
      <c r="F369" s="200">
        <f>ROUND((D369*E369),0)</f>
        <v>4738986</v>
      </c>
      <c r="G369" s="81"/>
      <c r="H369" s="212"/>
      <c r="I369" s="212"/>
    </row>
    <row r="370" spans="1:9" ht="28.5" x14ac:dyDescent="0.25">
      <c r="A370" s="222">
        <f t="shared" si="18"/>
        <v>7</v>
      </c>
      <c r="B370" s="115" t="s">
        <v>111</v>
      </c>
      <c r="C370" s="102" t="s">
        <v>18</v>
      </c>
      <c r="D370" s="103">
        <v>10</v>
      </c>
      <c r="E370" s="393">
        <f>ROUND(5500*1.045,0)</f>
        <v>5748</v>
      </c>
      <c r="F370" s="200">
        <f>ROUND((D370*E370),0)</f>
        <v>57480</v>
      </c>
      <c r="G370" s="81"/>
      <c r="H370" s="212"/>
      <c r="I370" s="212"/>
    </row>
    <row r="371" spans="1:9" x14ac:dyDescent="0.25">
      <c r="A371" s="222">
        <f t="shared" si="18"/>
        <v>8</v>
      </c>
      <c r="B371" s="116" t="s">
        <v>28</v>
      </c>
      <c r="C371" s="108"/>
      <c r="D371" s="99"/>
      <c r="E371" s="203"/>
      <c r="F371" s="200"/>
      <c r="G371" s="81"/>
      <c r="H371" s="212"/>
      <c r="I371" s="212"/>
    </row>
    <row r="372" spans="1:9" ht="29.25" x14ac:dyDescent="0.25">
      <c r="A372" s="222">
        <f t="shared" si="18"/>
        <v>9</v>
      </c>
      <c r="B372" s="101" t="s">
        <v>113</v>
      </c>
      <c r="C372" s="102" t="s">
        <v>115</v>
      </c>
      <c r="D372" s="103">
        <v>30</v>
      </c>
      <c r="E372" s="393">
        <f>ROUND(25687*1.045,0)</f>
        <v>26843</v>
      </c>
      <c r="F372" s="200">
        <f t="shared" ref="F372:F374" si="19">ROUND((D372*E372),0)</f>
        <v>805290</v>
      </c>
      <c r="G372" s="81"/>
      <c r="H372" s="212"/>
      <c r="I372" s="212"/>
    </row>
    <row r="373" spans="1:9" ht="29.25" x14ac:dyDescent="0.25">
      <c r="A373" s="222">
        <f t="shared" si="18"/>
        <v>10</v>
      </c>
      <c r="B373" s="101" t="s">
        <v>114</v>
      </c>
      <c r="C373" s="102" t="s">
        <v>115</v>
      </c>
      <c r="D373" s="103">
        <v>40</v>
      </c>
      <c r="E373" s="392">
        <f>ROUND(31640*1.045,0)</f>
        <v>33064</v>
      </c>
      <c r="F373" s="200">
        <f t="shared" si="19"/>
        <v>1322560</v>
      </c>
      <c r="G373" s="81"/>
      <c r="H373" s="212"/>
      <c r="I373" s="212"/>
    </row>
    <row r="374" spans="1:9" ht="29.25" x14ac:dyDescent="0.25">
      <c r="A374" s="222">
        <f t="shared" si="18"/>
        <v>11</v>
      </c>
      <c r="B374" s="101" t="s">
        <v>699</v>
      </c>
      <c r="C374" s="102" t="s">
        <v>115</v>
      </c>
      <c r="D374" s="103">
        <v>120</v>
      </c>
      <c r="E374" s="392">
        <f>ROUND(65000*1.045,0)</f>
        <v>67925</v>
      </c>
      <c r="F374" s="200">
        <f t="shared" si="19"/>
        <v>8151000</v>
      </c>
      <c r="G374" s="81"/>
      <c r="H374" s="212"/>
      <c r="I374" s="212"/>
    </row>
    <row r="375" spans="1:9" ht="30" x14ac:dyDescent="0.25">
      <c r="A375" s="222">
        <f t="shared" si="18"/>
        <v>12</v>
      </c>
      <c r="B375" s="116" t="s">
        <v>700</v>
      </c>
      <c r="C375" s="108"/>
      <c r="D375" s="99"/>
      <c r="E375" s="204"/>
      <c r="F375" s="200"/>
      <c r="G375" s="81"/>
      <c r="H375" s="212"/>
      <c r="I375" s="212"/>
    </row>
    <row r="376" spans="1:9" ht="71.25" x14ac:dyDescent="0.25">
      <c r="A376" s="222">
        <f t="shared" si="18"/>
        <v>13</v>
      </c>
      <c r="B376" s="105" t="s">
        <v>701</v>
      </c>
      <c r="C376" s="102" t="s">
        <v>18</v>
      </c>
      <c r="D376" s="103">
        <v>69</v>
      </c>
      <c r="E376" s="393">
        <f>ROUND(8500*1.045,0)</f>
        <v>8883</v>
      </c>
      <c r="F376" s="200">
        <f>ROUND((D376*E376),0)</f>
        <v>612927</v>
      </c>
      <c r="G376" s="81"/>
      <c r="H376" s="213"/>
      <c r="I376" s="211"/>
    </row>
    <row r="377" spans="1:9" ht="43.5" x14ac:dyDescent="0.25">
      <c r="A377" s="222">
        <f t="shared" si="18"/>
        <v>14</v>
      </c>
      <c r="B377" s="101" t="s">
        <v>702</v>
      </c>
      <c r="C377" s="102" t="s">
        <v>120</v>
      </c>
      <c r="D377" s="103">
        <v>20</v>
      </c>
      <c r="E377" s="393">
        <f>ROUND(77427*1.045,0)</f>
        <v>80911</v>
      </c>
      <c r="F377" s="200">
        <f>ROUND((D377*E377),0)</f>
        <v>1618220</v>
      </c>
      <c r="G377" s="81"/>
      <c r="H377" s="213"/>
      <c r="I377" s="211"/>
    </row>
    <row r="378" spans="1:9" ht="30" x14ac:dyDescent="0.25">
      <c r="A378" s="222">
        <f t="shared" si="18"/>
        <v>15</v>
      </c>
      <c r="B378" s="116" t="s">
        <v>116</v>
      </c>
      <c r="C378" s="108"/>
      <c r="D378" s="99"/>
      <c r="E378" s="393" t="s">
        <v>1</v>
      </c>
      <c r="F378" s="200"/>
      <c r="G378" s="81"/>
      <c r="H378" s="213"/>
      <c r="I378" s="211"/>
    </row>
    <row r="379" spans="1:9" ht="43.5" x14ac:dyDescent="0.25">
      <c r="A379" s="222">
        <f t="shared" si="18"/>
        <v>16</v>
      </c>
      <c r="B379" s="101" t="s">
        <v>117</v>
      </c>
      <c r="C379" s="102" t="s">
        <v>18</v>
      </c>
      <c r="D379" s="103">
        <v>96</v>
      </c>
      <c r="E379" s="393">
        <f>ROUND(13098*1.045,0)</f>
        <v>13687</v>
      </c>
      <c r="F379" s="200">
        <f>ROUND((D379*E379),0)</f>
        <v>1313952</v>
      </c>
      <c r="G379" s="81"/>
      <c r="H379" s="211"/>
      <c r="I379" s="213"/>
    </row>
    <row r="380" spans="1:9" ht="43.5" x14ac:dyDescent="0.25">
      <c r="A380" s="222">
        <f t="shared" si="18"/>
        <v>17</v>
      </c>
      <c r="B380" s="101" t="s">
        <v>805</v>
      </c>
      <c r="C380" s="102" t="s">
        <v>18</v>
      </c>
      <c r="D380" s="103">
        <v>69</v>
      </c>
      <c r="E380" s="393">
        <f>ROUND(15897*1.045,0)</f>
        <v>16612</v>
      </c>
      <c r="F380" s="200">
        <f>ROUND((D380*E380),0)</f>
        <v>1146228</v>
      </c>
      <c r="G380" s="81"/>
      <c r="H380" s="211"/>
      <c r="I380" s="213"/>
    </row>
    <row r="381" spans="1:9" ht="43.5" x14ac:dyDescent="0.25">
      <c r="A381" s="222">
        <f t="shared" si="18"/>
        <v>18</v>
      </c>
      <c r="B381" s="101" t="s">
        <v>119</v>
      </c>
      <c r="C381" s="106" t="s">
        <v>120</v>
      </c>
      <c r="D381" s="107">
        <v>16</v>
      </c>
      <c r="E381" s="393">
        <f>ROUND(40379*1.045,0)</f>
        <v>42196</v>
      </c>
      <c r="F381" s="202">
        <f>SUM(D381*E381)</f>
        <v>675136</v>
      </c>
      <c r="G381" s="81"/>
      <c r="H381" s="211"/>
      <c r="I381" s="213"/>
    </row>
    <row r="382" spans="1:9" x14ac:dyDescent="0.25">
      <c r="A382" s="222">
        <f t="shared" si="18"/>
        <v>19</v>
      </c>
      <c r="B382" s="116" t="s">
        <v>121</v>
      </c>
      <c r="C382" s="108"/>
      <c r="D382" s="99"/>
      <c r="E382" s="393" t="s">
        <v>1</v>
      </c>
      <c r="F382" s="200"/>
      <c r="G382" s="81"/>
      <c r="H382" s="211"/>
      <c r="I382" s="213"/>
    </row>
    <row r="383" spans="1:9" x14ac:dyDescent="0.25">
      <c r="A383" s="222">
        <f t="shared" si="18"/>
        <v>20</v>
      </c>
      <c r="B383" s="101" t="s">
        <v>122</v>
      </c>
      <c r="C383" s="102" t="s">
        <v>18</v>
      </c>
      <c r="D383" s="103">
        <v>69</v>
      </c>
      <c r="E383" s="393">
        <f>ROUND(27450*1.045,0)</f>
        <v>28685</v>
      </c>
      <c r="F383" s="200">
        <f>ROUND((D383*E383),0)</f>
        <v>1979265</v>
      </c>
      <c r="G383" s="81"/>
      <c r="H383" s="211"/>
      <c r="I383" s="213"/>
    </row>
    <row r="384" spans="1:9" ht="30" x14ac:dyDescent="0.25">
      <c r="A384" s="222">
        <f t="shared" si="18"/>
        <v>21</v>
      </c>
      <c r="B384" s="116" t="s">
        <v>123</v>
      </c>
      <c r="C384" s="108"/>
      <c r="D384" s="99"/>
      <c r="E384" s="203"/>
      <c r="F384" s="200">
        <f>ROUND((D384*E384),0)</f>
        <v>0</v>
      </c>
      <c r="G384" s="81"/>
      <c r="H384" s="211"/>
      <c r="I384" s="213"/>
    </row>
    <row r="385" spans="1:10" ht="57" x14ac:dyDescent="0.25">
      <c r="A385" s="222">
        <f t="shared" si="18"/>
        <v>22</v>
      </c>
      <c r="B385" s="115" t="s">
        <v>124</v>
      </c>
      <c r="C385" s="102" t="s">
        <v>125</v>
      </c>
      <c r="D385" s="103">
        <v>16</v>
      </c>
      <c r="E385" s="393">
        <f>ROUND(223256*1.045,0)</f>
        <v>233303</v>
      </c>
      <c r="F385" s="200">
        <f>ROUND((D385*E385),0)</f>
        <v>3732848</v>
      </c>
      <c r="G385" s="81"/>
      <c r="H385" s="211"/>
      <c r="I385" s="213"/>
    </row>
    <row r="386" spans="1:10" x14ac:dyDescent="0.25">
      <c r="A386" s="222">
        <f t="shared" si="18"/>
        <v>23</v>
      </c>
      <c r="B386" s="116" t="s">
        <v>126</v>
      </c>
      <c r="C386" s="108"/>
      <c r="D386" s="99"/>
      <c r="E386" s="203"/>
      <c r="F386" s="200"/>
      <c r="G386" s="81"/>
      <c r="H386" s="211"/>
      <c r="I386" s="213"/>
    </row>
    <row r="387" spans="1:10" ht="29.25" x14ac:dyDescent="0.25">
      <c r="A387" s="222">
        <f t="shared" si="18"/>
        <v>24</v>
      </c>
      <c r="B387" s="101" t="s">
        <v>127</v>
      </c>
      <c r="C387" s="102" t="s">
        <v>115</v>
      </c>
      <c r="D387" s="103">
        <v>10</v>
      </c>
      <c r="E387" s="393">
        <f>ROUND(22686*1.045,0)</f>
        <v>23707</v>
      </c>
      <c r="F387" s="200">
        <f>ROUND((D387*E387),0)</f>
        <v>237070</v>
      </c>
      <c r="G387" s="81"/>
      <c r="H387" s="212"/>
      <c r="I387" s="212"/>
    </row>
    <row r="388" spans="1:10" ht="42.75" x14ac:dyDescent="0.25">
      <c r="A388" s="222">
        <f t="shared" si="18"/>
        <v>25</v>
      </c>
      <c r="B388" s="105" t="s">
        <v>706</v>
      </c>
      <c r="C388" s="102" t="s">
        <v>115</v>
      </c>
      <c r="D388" s="103">
        <v>180</v>
      </c>
      <c r="E388" s="393">
        <f>ROUND(92913*1.045,0)</f>
        <v>97094</v>
      </c>
      <c r="F388" s="200">
        <f>ROUND((D388*E388),0)</f>
        <v>17476920</v>
      </c>
      <c r="G388" s="81"/>
      <c r="H388" s="212"/>
      <c r="I388" s="212"/>
    </row>
    <row r="389" spans="1:10" ht="29.25" x14ac:dyDescent="0.25">
      <c r="A389" s="222">
        <f t="shared" si="18"/>
        <v>26</v>
      </c>
      <c r="B389" s="101" t="s">
        <v>129</v>
      </c>
      <c r="C389" s="102" t="s">
        <v>115</v>
      </c>
      <c r="D389" s="103">
        <v>18</v>
      </c>
      <c r="E389" s="393">
        <f>ROUND(104720*1.045,0)</f>
        <v>109432</v>
      </c>
      <c r="F389" s="200">
        <f>ROUND((D389*E389),0)</f>
        <v>1969776</v>
      </c>
      <c r="G389" s="81"/>
      <c r="H389" s="212"/>
      <c r="I389" s="212"/>
    </row>
    <row r="390" spans="1:10" ht="30" x14ac:dyDescent="0.25">
      <c r="A390" s="222">
        <f t="shared" si="18"/>
        <v>27</v>
      </c>
      <c r="B390" s="116" t="s">
        <v>130</v>
      </c>
      <c r="C390" s="108"/>
      <c r="D390" s="99"/>
      <c r="E390" s="203"/>
      <c r="F390" s="200"/>
      <c r="G390" s="81"/>
      <c r="H390" s="211"/>
      <c r="I390" s="211"/>
    </row>
    <row r="391" spans="1:10" ht="71.25" x14ac:dyDescent="0.25">
      <c r="A391" s="222">
        <f t="shared" si="18"/>
        <v>28</v>
      </c>
      <c r="B391" s="115" t="s">
        <v>707</v>
      </c>
      <c r="C391" s="102" t="s">
        <v>115</v>
      </c>
      <c r="D391" s="103">
        <v>10.92</v>
      </c>
      <c r="E391" s="393">
        <f>ROUND(106315*1.045,0)</f>
        <v>111099</v>
      </c>
      <c r="F391" s="200">
        <f>ROUND((D391*E391),0)</f>
        <v>1213201</v>
      </c>
      <c r="G391" s="81"/>
      <c r="H391" s="212"/>
      <c r="I391" s="212"/>
    </row>
    <row r="392" spans="1:10" ht="45" x14ac:dyDescent="0.25">
      <c r="A392" s="222">
        <f t="shared" si="18"/>
        <v>29</v>
      </c>
      <c r="B392" s="117" t="s">
        <v>132</v>
      </c>
      <c r="C392" s="108"/>
      <c r="D392" s="99"/>
      <c r="E392" s="203"/>
      <c r="F392" s="200"/>
      <c r="G392" s="81"/>
      <c r="H392" s="212"/>
      <c r="I392" s="212"/>
    </row>
    <row r="393" spans="1:10" ht="28.5" x14ac:dyDescent="0.25">
      <c r="A393" s="222">
        <f t="shared" si="18"/>
        <v>30</v>
      </c>
      <c r="B393" s="118" t="s">
        <v>708</v>
      </c>
      <c r="C393" s="102" t="s">
        <v>120</v>
      </c>
      <c r="D393" s="103">
        <v>2</v>
      </c>
      <c r="E393" s="393">
        <f>ROUND(92000*1.045,0)</f>
        <v>96140</v>
      </c>
      <c r="F393" s="200">
        <f>ROUND((D393*E393),0)</f>
        <v>192280</v>
      </c>
      <c r="G393" s="81"/>
      <c r="H393" s="211"/>
      <c r="I393" s="213"/>
    </row>
    <row r="394" spans="1:10" ht="57" x14ac:dyDescent="0.25">
      <c r="A394" s="222">
        <f t="shared" si="18"/>
        <v>31</v>
      </c>
      <c r="B394" s="118" t="s">
        <v>133</v>
      </c>
      <c r="C394" s="102" t="s">
        <v>18</v>
      </c>
      <c r="D394" s="103">
        <v>2.6</v>
      </c>
      <c r="E394" s="393">
        <f>ROUND(451034*1.045,0)</f>
        <v>471331</v>
      </c>
      <c r="F394" s="200">
        <f>ROUND((D394*E394),0)</f>
        <v>1225461</v>
      </c>
      <c r="G394" s="81"/>
      <c r="H394" s="211"/>
      <c r="I394" s="213"/>
    </row>
    <row r="395" spans="1:10" ht="42.75" x14ac:dyDescent="0.25">
      <c r="A395" s="222">
        <f t="shared" si="18"/>
        <v>32</v>
      </c>
      <c r="B395" s="118" t="s">
        <v>709</v>
      </c>
      <c r="C395" s="102" t="s">
        <v>120</v>
      </c>
      <c r="D395" s="103">
        <v>2</v>
      </c>
      <c r="E395" s="393">
        <f>ROUND(905000*1.045,0)</f>
        <v>945725</v>
      </c>
      <c r="F395" s="200">
        <f>ROUND((D395*E395),0)</f>
        <v>1891450</v>
      </c>
      <c r="G395" s="81"/>
      <c r="H395" s="211"/>
      <c r="I395" s="213"/>
    </row>
    <row r="396" spans="1:10" x14ac:dyDescent="0.25">
      <c r="A396" s="222">
        <f t="shared" si="18"/>
        <v>33</v>
      </c>
      <c r="B396" s="113" t="s">
        <v>136</v>
      </c>
      <c r="C396" s="108"/>
      <c r="D396" s="99"/>
      <c r="E396" s="203"/>
      <c r="F396" s="200"/>
      <c r="G396" s="81"/>
      <c r="H396" s="211"/>
      <c r="I396" s="213"/>
    </row>
    <row r="397" spans="1:10" ht="57" x14ac:dyDescent="0.25">
      <c r="A397" s="222">
        <f t="shared" si="18"/>
        <v>34</v>
      </c>
      <c r="B397" s="118" t="s">
        <v>137</v>
      </c>
      <c r="C397" s="102" t="s">
        <v>115</v>
      </c>
      <c r="D397" s="103">
        <v>200</v>
      </c>
      <c r="E397" s="393">
        <f>ROUND(28500*1.045,0)</f>
        <v>29783</v>
      </c>
      <c r="F397" s="200">
        <f>ROUND((D397*E397),0)</f>
        <v>5956600</v>
      </c>
      <c r="G397" s="81"/>
      <c r="H397" s="212"/>
      <c r="I397" s="212"/>
      <c r="J397" s="211"/>
    </row>
    <row r="398" spans="1:10" x14ac:dyDescent="0.25">
      <c r="A398" s="222">
        <f t="shared" si="18"/>
        <v>35</v>
      </c>
      <c r="B398" s="113" t="s">
        <v>138</v>
      </c>
      <c r="C398" s="108"/>
      <c r="D398" s="99"/>
      <c r="E398" s="203"/>
      <c r="F398" s="200"/>
      <c r="G398" s="81"/>
      <c r="H398" s="211"/>
      <c r="I398" s="211"/>
      <c r="J398" s="211"/>
    </row>
    <row r="399" spans="1:10" ht="29.25" x14ac:dyDescent="0.25">
      <c r="A399" s="222">
        <f t="shared" si="18"/>
        <v>36</v>
      </c>
      <c r="B399" s="101" t="s">
        <v>86</v>
      </c>
      <c r="C399" s="102" t="s">
        <v>115</v>
      </c>
      <c r="D399" s="103">
        <v>2.7</v>
      </c>
      <c r="E399" s="393">
        <f>ROUND(573000*1.045,0)</f>
        <v>598785</v>
      </c>
      <c r="F399" s="200">
        <f t="shared" ref="F399:F400" si="20">ROUND((D399*E399),0)</f>
        <v>1616720</v>
      </c>
      <c r="G399" s="81"/>
      <c r="H399" s="212"/>
      <c r="I399" s="212"/>
      <c r="J399" s="211"/>
    </row>
    <row r="400" spans="1:10" ht="42.75" x14ac:dyDescent="0.25">
      <c r="A400" s="222">
        <f t="shared" si="18"/>
        <v>37</v>
      </c>
      <c r="B400" s="105" t="s">
        <v>711</v>
      </c>
      <c r="C400" s="102" t="s">
        <v>20</v>
      </c>
      <c r="D400" s="103">
        <v>20</v>
      </c>
      <c r="E400" s="393">
        <f>ROUND(65000*1.045,0)</f>
        <v>67925</v>
      </c>
      <c r="F400" s="200">
        <f t="shared" si="20"/>
        <v>1358500</v>
      </c>
      <c r="G400" s="81"/>
      <c r="H400" s="212"/>
      <c r="I400" s="212"/>
      <c r="J400" s="211"/>
    </row>
    <row r="401" spans="1:11" x14ac:dyDescent="0.25">
      <c r="A401" s="222">
        <f t="shared" si="18"/>
        <v>38</v>
      </c>
      <c r="B401" s="113" t="s">
        <v>51</v>
      </c>
      <c r="C401" s="108"/>
      <c r="D401" s="99"/>
      <c r="E401" s="203"/>
      <c r="F401" s="200"/>
      <c r="G401" s="81"/>
      <c r="H401" s="211"/>
      <c r="I401" s="211"/>
      <c r="J401" s="211"/>
    </row>
    <row r="402" spans="1:11" ht="57" x14ac:dyDescent="0.25">
      <c r="A402" s="222">
        <f t="shared" si="18"/>
        <v>39</v>
      </c>
      <c r="B402" s="118" t="s">
        <v>140</v>
      </c>
      <c r="C402" s="102" t="s">
        <v>141</v>
      </c>
      <c r="D402" s="103">
        <v>180</v>
      </c>
      <c r="E402" s="393">
        <f>ROUND(5850*1.045,0)</f>
        <v>6113</v>
      </c>
      <c r="F402" s="200">
        <f>ROUND((D402*E402),0)</f>
        <v>1100340</v>
      </c>
      <c r="G402" s="81"/>
      <c r="H402" s="212"/>
      <c r="I402" s="212"/>
      <c r="J402" s="211"/>
      <c r="K402" s="53"/>
    </row>
    <row r="403" spans="1:11" x14ac:dyDescent="0.25">
      <c r="A403" s="219"/>
      <c r="B403" s="18" t="s">
        <v>56</v>
      </c>
      <c r="C403" s="54"/>
      <c r="D403" s="130"/>
      <c r="E403" s="203"/>
      <c r="F403" s="203">
        <f>ROUND(F402+F400+F399+F397+F395+F394+F393+F391+F388+F389+F387+F385+F383+F381+F380+F379+F377++F374++F376+F373+F372+F370+F369+F367+F366+F365,0)</f>
        <v>62779454</v>
      </c>
      <c r="G403" s="81"/>
      <c r="H403" s="211"/>
      <c r="I403" s="211"/>
      <c r="J403" s="211"/>
    </row>
    <row r="404" spans="1:11" x14ac:dyDescent="0.25">
      <c r="A404" s="19"/>
      <c r="B404" s="19" t="s">
        <v>60</v>
      </c>
      <c r="C404" s="19"/>
      <c r="D404" s="19"/>
      <c r="E404" s="207"/>
      <c r="F404" s="207">
        <f>ROUND(F403/1.3495,0)</f>
        <v>46520529</v>
      </c>
      <c r="G404" s="81"/>
      <c r="H404" s="212"/>
      <c r="I404" s="212"/>
      <c r="J404" s="211"/>
    </row>
    <row r="405" spans="1:11" x14ac:dyDescent="0.25">
      <c r="A405" s="19"/>
      <c r="B405" s="19" t="s">
        <v>61</v>
      </c>
      <c r="C405" s="131">
        <v>0.24</v>
      </c>
      <c r="D405" s="19"/>
      <c r="E405" s="207"/>
      <c r="F405" s="207">
        <f>ROUND(F404*C405,0)</f>
        <v>11164927</v>
      </c>
      <c r="G405" s="81"/>
      <c r="H405" s="211"/>
      <c r="I405" s="211"/>
      <c r="J405" s="211"/>
    </row>
    <row r="406" spans="1:11" x14ac:dyDescent="0.25">
      <c r="A406" s="19"/>
      <c r="B406" s="19" t="s">
        <v>57</v>
      </c>
      <c r="C406" s="131">
        <v>0.05</v>
      </c>
      <c r="D406" s="19"/>
      <c r="E406" s="207"/>
      <c r="F406" s="207">
        <f>ROUND(F404*C406,0)</f>
        <v>2326026</v>
      </c>
      <c r="G406" s="81"/>
      <c r="H406" s="214"/>
      <c r="I406" s="214"/>
      <c r="J406" s="214"/>
    </row>
    <row r="407" spans="1:11" x14ac:dyDescent="0.25">
      <c r="A407" s="19"/>
      <c r="B407" s="19" t="s">
        <v>62</v>
      </c>
      <c r="C407" s="131">
        <v>0.05</v>
      </c>
      <c r="D407" s="19"/>
      <c r="E407" s="19"/>
      <c r="F407" s="29">
        <f>ROUND(F404*C407,0)</f>
        <v>2326026</v>
      </c>
      <c r="G407" s="81"/>
    </row>
    <row r="408" spans="1:11" x14ac:dyDescent="0.25">
      <c r="A408" s="19"/>
      <c r="B408" s="132" t="s">
        <v>63</v>
      </c>
      <c r="C408" s="133">
        <v>0.19</v>
      </c>
      <c r="D408" s="120"/>
      <c r="E408" s="120"/>
      <c r="F408" s="35">
        <f>ROUND(F407*19%,0)</f>
        <v>441945</v>
      </c>
      <c r="G408" s="81"/>
    </row>
    <row r="409" spans="1:11" x14ac:dyDescent="0.25">
      <c r="A409" s="19"/>
      <c r="B409" s="18" t="s">
        <v>56</v>
      </c>
      <c r="C409" s="19"/>
      <c r="D409" s="19"/>
      <c r="E409" s="19"/>
      <c r="F409" s="30">
        <f>SUM(F404:F408)</f>
        <v>62779453</v>
      </c>
      <c r="G409" s="81"/>
    </row>
    <row r="410" spans="1:11" x14ac:dyDescent="0.25">
      <c r="A410" s="134"/>
      <c r="B410" s="134"/>
      <c r="C410" s="134"/>
      <c r="D410" s="134"/>
      <c r="E410" s="134"/>
      <c r="F410" s="134"/>
      <c r="G410" s="81"/>
    </row>
    <row r="411" spans="1:11" ht="48.75" customHeight="1" x14ac:dyDescent="0.25">
      <c r="A411" s="468" t="s">
        <v>997</v>
      </c>
      <c r="B411" s="469"/>
      <c r="C411" s="469"/>
      <c r="D411" s="469"/>
      <c r="E411" s="469"/>
      <c r="F411" s="469"/>
      <c r="G411" s="81"/>
    </row>
    <row r="412" spans="1:11" x14ac:dyDescent="0.25">
      <c r="A412" s="470" t="s">
        <v>10</v>
      </c>
      <c r="B412" s="470" t="s">
        <v>0</v>
      </c>
      <c r="C412" s="470" t="s">
        <v>11</v>
      </c>
      <c r="D412" s="470" t="s">
        <v>12</v>
      </c>
      <c r="E412" s="470"/>
      <c r="F412" s="470"/>
      <c r="G412" s="81"/>
      <c r="H412" s="211"/>
      <c r="I412" s="211"/>
    </row>
    <row r="413" spans="1:11" x14ac:dyDescent="0.25">
      <c r="A413" s="470"/>
      <c r="B413" s="470"/>
      <c r="C413" s="470"/>
      <c r="D413" s="99" t="s">
        <v>13</v>
      </c>
      <c r="E413" s="100" t="s">
        <v>14</v>
      </c>
      <c r="F413" s="100" t="s">
        <v>15</v>
      </c>
      <c r="G413" s="81"/>
      <c r="H413" s="211"/>
      <c r="I413" s="211"/>
    </row>
    <row r="414" spans="1:11" x14ac:dyDescent="0.25">
      <c r="A414" s="222">
        <f t="shared" ref="A414:A452" si="21">A413+1</f>
        <v>1</v>
      </c>
      <c r="B414" s="113" t="s">
        <v>16</v>
      </c>
      <c r="C414" s="221"/>
      <c r="D414" s="99"/>
      <c r="E414" s="100"/>
      <c r="F414" s="104"/>
      <c r="G414" s="81"/>
      <c r="H414" s="211"/>
      <c r="I414" s="211"/>
    </row>
    <row r="415" spans="1:11" ht="29.25" x14ac:dyDescent="0.25">
      <c r="A415" s="222">
        <f t="shared" si="21"/>
        <v>2</v>
      </c>
      <c r="B415" s="101" t="s">
        <v>698</v>
      </c>
      <c r="C415" s="380" t="s">
        <v>18</v>
      </c>
      <c r="D415" s="197">
        <v>144</v>
      </c>
      <c r="E415" s="201">
        <f>ROUND(4867*1.045,0)</f>
        <v>5086</v>
      </c>
      <c r="F415" s="14">
        <f>ROUND((D415*E415),0)</f>
        <v>732384</v>
      </c>
      <c r="G415" s="81"/>
      <c r="H415" s="212"/>
      <c r="I415" s="212"/>
    </row>
    <row r="416" spans="1:11" ht="43.5" x14ac:dyDescent="0.25">
      <c r="A416" s="222">
        <f t="shared" si="21"/>
        <v>3</v>
      </c>
      <c r="B416" s="101" t="s">
        <v>21</v>
      </c>
      <c r="C416" s="380" t="s">
        <v>18</v>
      </c>
      <c r="D416" s="197">
        <v>102</v>
      </c>
      <c r="E416" s="201">
        <f>ROUND(9200*1.045,0)</f>
        <v>9614</v>
      </c>
      <c r="F416" s="14">
        <f>ROUND((D416*E416),0)</f>
        <v>980628</v>
      </c>
      <c r="G416" s="81"/>
      <c r="H416" s="212"/>
      <c r="I416" s="212"/>
    </row>
    <row r="417" spans="1:9" ht="42.75" x14ac:dyDescent="0.25">
      <c r="A417" s="222">
        <f t="shared" si="21"/>
        <v>4</v>
      </c>
      <c r="B417" s="105" t="s">
        <v>109</v>
      </c>
      <c r="C417" s="380" t="s">
        <v>23</v>
      </c>
      <c r="D417" s="197">
        <v>2</v>
      </c>
      <c r="E417" s="201">
        <f>ROUND(171600*1.045,0)</f>
        <v>179322</v>
      </c>
      <c r="F417" s="14">
        <f>ROUND((D417*E417),0)</f>
        <v>358644</v>
      </c>
      <c r="G417" s="81"/>
      <c r="H417" s="212"/>
      <c r="I417" s="212"/>
    </row>
    <row r="418" spans="1:9" x14ac:dyDescent="0.25">
      <c r="A418" s="222">
        <f t="shared" si="21"/>
        <v>5</v>
      </c>
      <c r="B418" s="116" t="s">
        <v>25</v>
      </c>
      <c r="C418" s="379"/>
      <c r="D418" s="205"/>
      <c r="E418" s="206"/>
      <c r="F418" s="14"/>
      <c r="G418" s="81"/>
      <c r="H418" s="212"/>
      <c r="I418" s="212"/>
    </row>
    <row r="419" spans="1:9" ht="28.5" x14ac:dyDescent="0.25">
      <c r="A419" s="222">
        <f t="shared" si="21"/>
        <v>6</v>
      </c>
      <c r="B419" s="115" t="s">
        <v>110</v>
      </c>
      <c r="C419" s="380" t="s">
        <v>115</v>
      </c>
      <c r="D419" s="197">
        <v>5</v>
      </c>
      <c r="E419" s="201">
        <f>ROUND(83980*1.045,0)</f>
        <v>87759</v>
      </c>
      <c r="F419" s="14">
        <f>ROUND((D419*E419),0)</f>
        <v>438795</v>
      </c>
      <c r="G419" s="81"/>
      <c r="H419" s="212"/>
      <c r="I419" s="212"/>
    </row>
    <row r="420" spans="1:9" ht="28.5" x14ac:dyDescent="0.25">
      <c r="A420" s="222">
        <f t="shared" si="21"/>
        <v>7</v>
      </c>
      <c r="B420" s="115" t="s">
        <v>111</v>
      </c>
      <c r="C420" s="380" t="s">
        <v>18</v>
      </c>
      <c r="D420" s="197">
        <v>50</v>
      </c>
      <c r="E420" s="201">
        <f>ROUND(5500*1.045,0)</f>
        <v>5748</v>
      </c>
      <c r="F420" s="14">
        <f>ROUND((D420*E420),0)</f>
        <v>287400</v>
      </c>
      <c r="G420" s="81"/>
      <c r="H420" s="212"/>
      <c r="I420" s="212"/>
    </row>
    <row r="421" spans="1:9" x14ac:dyDescent="0.25">
      <c r="A421" s="222">
        <f t="shared" si="21"/>
        <v>8</v>
      </c>
      <c r="B421" s="116" t="s">
        <v>28</v>
      </c>
      <c r="C421" s="379"/>
      <c r="D421" s="205"/>
      <c r="E421" s="206"/>
      <c r="F421" s="14"/>
      <c r="G421" s="81"/>
      <c r="H421" s="212"/>
      <c r="I421" s="212"/>
    </row>
    <row r="422" spans="1:9" ht="29.25" x14ac:dyDescent="0.25">
      <c r="A422" s="222">
        <f t="shared" si="21"/>
        <v>9</v>
      </c>
      <c r="B422" s="101" t="s">
        <v>113</v>
      </c>
      <c r="C422" s="380" t="s">
        <v>115</v>
      </c>
      <c r="D422" s="197">
        <v>30</v>
      </c>
      <c r="E422" s="201">
        <f>ROUND(25687*1.045,0)</f>
        <v>26843</v>
      </c>
      <c r="F422" s="14">
        <f t="shared" ref="F422:F424" si="22">ROUND((D422*E422),0)</f>
        <v>805290</v>
      </c>
      <c r="G422" s="81"/>
      <c r="H422" s="212"/>
      <c r="I422" s="212"/>
    </row>
    <row r="423" spans="1:9" ht="29.25" x14ac:dyDescent="0.25">
      <c r="A423" s="222">
        <f t="shared" si="21"/>
        <v>10</v>
      </c>
      <c r="B423" s="101" t="s">
        <v>114</v>
      </c>
      <c r="C423" s="102" t="s">
        <v>115</v>
      </c>
      <c r="D423" s="103">
        <v>40</v>
      </c>
      <c r="E423" s="199">
        <f>ROUND(31640*1.045,0)</f>
        <v>33064</v>
      </c>
      <c r="F423" s="200">
        <f t="shared" si="22"/>
        <v>1322560</v>
      </c>
      <c r="G423" s="81"/>
      <c r="H423" s="212"/>
      <c r="I423" s="212"/>
    </row>
    <row r="424" spans="1:9" ht="29.25" x14ac:dyDescent="0.25">
      <c r="A424" s="222">
        <f t="shared" si="21"/>
        <v>11</v>
      </c>
      <c r="B424" s="101" t="s">
        <v>699</v>
      </c>
      <c r="C424" s="102" t="s">
        <v>115</v>
      </c>
      <c r="D424" s="103">
        <v>170</v>
      </c>
      <c r="E424" s="199">
        <f>ROUND(65000*1.045,0)</f>
        <v>67925</v>
      </c>
      <c r="F424" s="200">
        <f t="shared" si="22"/>
        <v>11547250</v>
      </c>
      <c r="G424" s="81"/>
      <c r="H424" s="212"/>
      <c r="I424" s="212"/>
    </row>
    <row r="425" spans="1:9" ht="30" x14ac:dyDescent="0.25">
      <c r="A425" s="222">
        <f t="shared" si="21"/>
        <v>12</v>
      </c>
      <c r="B425" s="116" t="s">
        <v>700</v>
      </c>
      <c r="C425" s="108"/>
      <c r="D425" s="99"/>
      <c r="E425" s="204"/>
      <c r="F425" s="200"/>
      <c r="G425" s="81"/>
      <c r="H425" s="212"/>
      <c r="I425" s="212"/>
    </row>
    <row r="426" spans="1:9" ht="71.25" x14ac:dyDescent="0.25">
      <c r="A426" s="222">
        <f t="shared" si="21"/>
        <v>13</v>
      </c>
      <c r="B426" s="105" t="s">
        <v>701</v>
      </c>
      <c r="C426" s="102" t="s">
        <v>18</v>
      </c>
      <c r="D426" s="103">
        <v>72</v>
      </c>
      <c r="E426" s="199">
        <f>ROUND(8500*1.045,0)</f>
        <v>8883</v>
      </c>
      <c r="F426" s="200">
        <f>ROUND((D426*E426),0)</f>
        <v>639576</v>
      </c>
      <c r="G426" s="81"/>
      <c r="H426" s="213"/>
      <c r="I426" s="211"/>
    </row>
    <row r="427" spans="1:9" ht="43.5" x14ac:dyDescent="0.25">
      <c r="A427" s="222">
        <f t="shared" si="21"/>
        <v>14</v>
      </c>
      <c r="B427" s="101" t="s">
        <v>702</v>
      </c>
      <c r="C427" s="102" t="s">
        <v>120</v>
      </c>
      <c r="D427" s="103">
        <v>18</v>
      </c>
      <c r="E427" s="199">
        <f>ROUND(77427*1.045,0)</f>
        <v>80911</v>
      </c>
      <c r="F427" s="200">
        <f>ROUND((D427*E427),0)</f>
        <v>1456398</v>
      </c>
      <c r="G427" s="81"/>
      <c r="H427" s="213"/>
      <c r="I427" s="211"/>
    </row>
    <row r="428" spans="1:9" ht="30" x14ac:dyDescent="0.25">
      <c r="A428" s="222">
        <f t="shared" si="21"/>
        <v>15</v>
      </c>
      <c r="B428" s="116" t="s">
        <v>116</v>
      </c>
      <c r="C428" s="108"/>
      <c r="D428" s="99"/>
      <c r="E428" s="199" t="s">
        <v>1</v>
      </c>
      <c r="F428" s="200"/>
      <c r="G428" s="81"/>
      <c r="H428" s="213"/>
      <c r="I428" s="211"/>
    </row>
    <row r="429" spans="1:9" ht="43.5" x14ac:dyDescent="0.25">
      <c r="A429" s="222">
        <f t="shared" si="21"/>
        <v>16</v>
      </c>
      <c r="B429" s="101" t="s">
        <v>117</v>
      </c>
      <c r="C429" s="102" t="s">
        <v>18</v>
      </c>
      <c r="D429" s="103">
        <v>72</v>
      </c>
      <c r="E429" s="199">
        <f>ROUND(13098*1.045,0)</f>
        <v>13687</v>
      </c>
      <c r="F429" s="200">
        <f>ROUND((D429*E429),0)</f>
        <v>985464</v>
      </c>
      <c r="G429" s="81"/>
      <c r="H429" s="211"/>
      <c r="I429" s="213"/>
    </row>
    <row r="430" spans="1:9" ht="42.75" x14ac:dyDescent="0.25">
      <c r="A430" s="222">
        <f t="shared" si="21"/>
        <v>17</v>
      </c>
      <c r="B430" s="105" t="s">
        <v>807</v>
      </c>
      <c r="C430" s="102" t="s">
        <v>18</v>
      </c>
      <c r="D430" s="103">
        <v>72</v>
      </c>
      <c r="E430" s="199">
        <v>32000</v>
      </c>
      <c r="F430" s="200">
        <f>ROUND((D430*E430),0)</f>
        <v>2304000</v>
      </c>
      <c r="G430" s="81"/>
      <c r="H430" s="211"/>
      <c r="I430" s="213"/>
    </row>
    <row r="431" spans="1:9" ht="29.25" x14ac:dyDescent="0.25">
      <c r="A431" s="222">
        <f t="shared" si="21"/>
        <v>18</v>
      </c>
      <c r="B431" s="101" t="s">
        <v>808</v>
      </c>
      <c r="C431" s="106" t="s">
        <v>120</v>
      </c>
      <c r="D431" s="107">
        <v>12</v>
      </c>
      <c r="E431" s="199">
        <f>ROUND(40379*1.045,0)</f>
        <v>42196</v>
      </c>
      <c r="F431" s="202">
        <f>SUM(D431*E431)</f>
        <v>506352</v>
      </c>
      <c r="G431" s="81"/>
      <c r="H431" s="211"/>
      <c r="I431" s="213"/>
    </row>
    <row r="432" spans="1:9" x14ac:dyDescent="0.25">
      <c r="A432" s="222">
        <f t="shared" si="21"/>
        <v>19</v>
      </c>
      <c r="B432" s="116" t="s">
        <v>121</v>
      </c>
      <c r="C432" s="108"/>
      <c r="D432" s="99"/>
      <c r="E432" s="199" t="s">
        <v>1</v>
      </c>
      <c r="F432" s="200"/>
      <c r="G432" s="81"/>
      <c r="H432" s="211"/>
      <c r="I432" s="213"/>
    </row>
    <row r="433" spans="1:10" x14ac:dyDescent="0.25">
      <c r="A433" s="222">
        <f t="shared" si="21"/>
        <v>20</v>
      </c>
      <c r="B433" s="101" t="s">
        <v>122</v>
      </c>
      <c r="C433" s="102" t="s">
        <v>18</v>
      </c>
      <c r="D433" s="103">
        <v>46</v>
      </c>
      <c r="E433" s="199">
        <f>ROUND(27450*1.045,0)</f>
        <v>28685</v>
      </c>
      <c r="F433" s="200">
        <f>ROUND((D433*E433),0)</f>
        <v>1319510</v>
      </c>
      <c r="G433" s="81"/>
      <c r="H433" s="211"/>
      <c r="I433" s="213"/>
    </row>
    <row r="434" spans="1:10" ht="30" x14ac:dyDescent="0.25">
      <c r="A434" s="222">
        <f t="shared" si="21"/>
        <v>21</v>
      </c>
      <c r="B434" s="116" t="s">
        <v>123</v>
      </c>
      <c r="C434" s="108"/>
      <c r="D434" s="99"/>
      <c r="E434" s="203"/>
      <c r="F434" s="200">
        <f>ROUND((D434*E434),0)</f>
        <v>0</v>
      </c>
      <c r="G434" s="81"/>
      <c r="H434" s="211"/>
      <c r="I434" s="213"/>
    </row>
    <row r="435" spans="1:10" ht="57" x14ac:dyDescent="0.25">
      <c r="A435" s="222">
        <f t="shared" si="21"/>
        <v>22</v>
      </c>
      <c r="B435" s="115" t="s">
        <v>124</v>
      </c>
      <c r="C435" s="102" t="s">
        <v>125</v>
      </c>
      <c r="D435" s="103">
        <v>12</v>
      </c>
      <c r="E435" s="199">
        <f>ROUND(223256*1.045,0)</f>
        <v>233303</v>
      </c>
      <c r="F435" s="200">
        <f>ROUND((D435*E435),0)</f>
        <v>2799636</v>
      </c>
      <c r="G435" s="81"/>
      <c r="H435" s="211"/>
      <c r="I435" s="213"/>
    </row>
    <row r="436" spans="1:10" x14ac:dyDescent="0.25">
      <c r="A436" s="222">
        <f t="shared" si="21"/>
        <v>23</v>
      </c>
      <c r="B436" s="116" t="s">
        <v>126</v>
      </c>
      <c r="C436" s="108"/>
      <c r="D436" s="99"/>
      <c r="E436" s="203"/>
      <c r="F436" s="200"/>
      <c r="G436" s="81"/>
      <c r="H436" s="211"/>
      <c r="I436" s="213"/>
    </row>
    <row r="437" spans="1:10" ht="29.25" x14ac:dyDescent="0.25">
      <c r="A437" s="222">
        <f t="shared" si="21"/>
        <v>24</v>
      </c>
      <c r="B437" s="101" t="s">
        <v>127</v>
      </c>
      <c r="C437" s="102" t="s">
        <v>115</v>
      </c>
      <c r="D437" s="103">
        <v>10</v>
      </c>
      <c r="E437" s="199">
        <f>ROUND(22686*1.045,0)</f>
        <v>23707</v>
      </c>
      <c r="F437" s="200">
        <f>ROUND((D437*E437),0)</f>
        <v>237070</v>
      </c>
      <c r="G437" s="81"/>
      <c r="H437" s="212"/>
      <c r="I437" s="212"/>
    </row>
    <row r="438" spans="1:10" ht="42.75" x14ac:dyDescent="0.25">
      <c r="A438" s="222">
        <f t="shared" si="21"/>
        <v>25</v>
      </c>
      <c r="B438" s="105" t="s">
        <v>706</v>
      </c>
      <c r="C438" s="102" t="s">
        <v>115</v>
      </c>
      <c r="D438" s="103">
        <v>200</v>
      </c>
      <c r="E438" s="199">
        <f>ROUND(92913*1.045,0)</f>
        <v>97094</v>
      </c>
      <c r="F438" s="200">
        <f>ROUND((D438*E438),0)</f>
        <v>19418800</v>
      </c>
      <c r="G438" s="81"/>
      <c r="H438" s="212"/>
      <c r="I438" s="212"/>
    </row>
    <row r="439" spans="1:10" ht="29.25" x14ac:dyDescent="0.25">
      <c r="A439" s="222">
        <f t="shared" si="21"/>
        <v>26</v>
      </c>
      <c r="B439" s="101" t="s">
        <v>129</v>
      </c>
      <c r="C439" s="102" t="s">
        <v>115</v>
      </c>
      <c r="D439" s="103">
        <v>18</v>
      </c>
      <c r="E439" s="199">
        <f>ROUND(104720*1.045,0)</f>
        <v>109432</v>
      </c>
      <c r="F439" s="200">
        <f>ROUND((D439*E439),0)</f>
        <v>1969776</v>
      </c>
      <c r="G439" s="81"/>
      <c r="H439" s="212"/>
      <c r="I439" s="212"/>
    </row>
    <row r="440" spans="1:10" ht="30" x14ac:dyDescent="0.25">
      <c r="A440" s="222">
        <f t="shared" si="21"/>
        <v>27</v>
      </c>
      <c r="B440" s="116" t="s">
        <v>130</v>
      </c>
      <c r="C440" s="108"/>
      <c r="D440" s="99"/>
      <c r="E440" s="203"/>
      <c r="F440" s="200"/>
      <c r="G440" s="81"/>
      <c r="H440" s="211"/>
      <c r="I440" s="211"/>
    </row>
    <row r="441" spans="1:10" ht="71.25" x14ac:dyDescent="0.25">
      <c r="A441" s="222">
        <f t="shared" si="21"/>
        <v>28</v>
      </c>
      <c r="B441" s="115" t="s">
        <v>707</v>
      </c>
      <c r="C441" s="102" t="s">
        <v>115</v>
      </c>
      <c r="D441" s="103">
        <v>10.92</v>
      </c>
      <c r="E441" s="199">
        <f>ROUND(106315*1.045,0)</f>
        <v>111099</v>
      </c>
      <c r="F441" s="200">
        <f>ROUND((D441*E441),0)</f>
        <v>1213201</v>
      </c>
      <c r="G441" s="81"/>
      <c r="H441" s="212"/>
      <c r="I441" s="212"/>
    </row>
    <row r="442" spans="1:10" ht="45" x14ac:dyDescent="0.25">
      <c r="A442" s="222">
        <f t="shared" si="21"/>
        <v>29</v>
      </c>
      <c r="B442" s="117" t="s">
        <v>132</v>
      </c>
      <c r="C442" s="108"/>
      <c r="D442" s="99"/>
      <c r="E442" s="203"/>
      <c r="F442" s="200"/>
      <c r="G442" s="81"/>
      <c r="H442" s="212"/>
      <c r="I442" s="212"/>
    </row>
    <row r="443" spans="1:10" ht="28.5" x14ac:dyDescent="0.25">
      <c r="A443" s="222">
        <f t="shared" si="21"/>
        <v>30</v>
      </c>
      <c r="B443" s="118" t="s">
        <v>708</v>
      </c>
      <c r="C443" s="102" t="s">
        <v>120</v>
      </c>
      <c r="D443" s="103">
        <v>2</v>
      </c>
      <c r="E443" s="199">
        <f>ROUND(92000*1.045,0)</f>
        <v>96140</v>
      </c>
      <c r="F443" s="200">
        <f>ROUND((D443*E443),0)</f>
        <v>192280</v>
      </c>
      <c r="G443" s="81"/>
      <c r="H443" s="211"/>
      <c r="I443" s="213"/>
    </row>
    <row r="444" spans="1:10" ht="57" x14ac:dyDescent="0.25">
      <c r="A444" s="222">
        <f t="shared" si="21"/>
        <v>31</v>
      </c>
      <c r="B444" s="118" t="s">
        <v>133</v>
      </c>
      <c r="C444" s="102" t="s">
        <v>18</v>
      </c>
      <c r="D444" s="103">
        <v>4</v>
      </c>
      <c r="E444" s="199">
        <f>ROUND(451034*1.045,0)</f>
        <v>471331</v>
      </c>
      <c r="F444" s="200">
        <f>ROUND((D444*E444),0)</f>
        <v>1885324</v>
      </c>
      <c r="G444" s="81"/>
      <c r="H444" s="211"/>
      <c r="I444" s="213"/>
    </row>
    <row r="445" spans="1:10" ht="42.75" x14ac:dyDescent="0.25">
      <c r="A445" s="222">
        <f t="shared" si="21"/>
        <v>32</v>
      </c>
      <c r="B445" s="118" t="s">
        <v>709</v>
      </c>
      <c r="C445" s="102" t="s">
        <v>120</v>
      </c>
      <c r="D445" s="103">
        <v>2</v>
      </c>
      <c r="E445" s="199">
        <f>ROUND(905000*1.045,0)</f>
        <v>945725</v>
      </c>
      <c r="F445" s="200">
        <f>ROUND((D445*E445),0)</f>
        <v>1891450</v>
      </c>
      <c r="G445" s="81"/>
      <c r="H445" s="211"/>
      <c r="I445" s="213"/>
    </row>
    <row r="446" spans="1:10" x14ac:dyDescent="0.25">
      <c r="A446" s="222">
        <f t="shared" si="21"/>
        <v>33</v>
      </c>
      <c r="B446" s="113" t="s">
        <v>136</v>
      </c>
      <c r="C446" s="108"/>
      <c r="D446" s="99"/>
      <c r="E446" s="203"/>
      <c r="F446" s="200"/>
      <c r="G446" s="81"/>
      <c r="H446" s="211"/>
      <c r="I446" s="213"/>
    </row>
    <row r="447" spans="1:10" ht="57" x14ac:dyDescent="0.25">
      <c r="A447" s="222">
        <f t="shared" si="21"/>
        <v>34</v>
      </c>
      <c r="B447" s="118" t="s">
        <v>137</v>
      </c>
      <c r="C447" s="102" t="s">
        <v>115</v>
      </c>
      <c r="D447" s="103">
        <v>285.56</v>
      </c>
      <c r="E447" s="199">
        <f>ROUND(28500*1.045,0)</f>
        <v>29783</v>
      </c>
      <c r="F447" s="200">
        <f>ROUND((D447*E447),0)</f>
        <v>8504833</v>
      </c>
      <c r="G447" s="81"/>
      <c r="H447" s="212"/>
      <c r="I447" s="212"/>
      <c r="J447" s="211"/>
    </row>
    <row r="448" spans="1:10" x14ac:dyDescent="0.25">
      <c r="A448" s="222">
        <f t="shared" si="21"/>
        <v>35</v>
      </c>
      <c r="B448" s="113" t="s">
        <v>138</v>
      </c>
      <c r="C448" s="108"/>
      <c r="D448" s="99"/>
      <c r="E448" s="203"/>
      <c r="F448" s="200"/>
      <c r="G448" s="81"/>
      <c r="H448" s="211"/>
      <c r="I448" s="211"/>
      <c r="J448" s="211"/>
    </row>
    <row r="449" spans="1:10" ht="29.25" x14ac:dyDescent="0.25">
      <c r="A449" s="222">
        <f t="shared" si="21"/>
        <v>36</v>
      </c>
      <c r="B449" s="101" t="s">
        <v>86</v>
      </c>
      <c r="C449" s="102" t="s">
        <v>115</v>
      </c>
      <c r="D449" s="103">
        <v>2.7</v>
      </c>
      <c r="E449" s="199">
        <f>ROUND(573000*1.045,0)</f>
        <v>598785</v>
      </c>
      <c r="F449" s="200">
        <f t="shared" ref="F449:F450" si="23">ROUND((D449*E449),0)</f>
        <v>1616720</v>
      </c>
      <c r="G449" s="81"/>
      <c r="H449" s="212"/>
      <c r="I449" s="212"/>
      <c r="J449" s="211"/>
    </row>
    <row r="450" spans="1:10" ht="42.75" x14ac:dyDescent="0.25">
      <c r="A450" s="222">
        <f t="shared" si="21"/>
        <v>37</v>
      </c>
      <c r="B450" s="105" t="s">
        <v>711</v>
      </c>
      <c r="C450" s="102" t="s">
        <v>20</v>
      </c>
      <c r="D450" s="103">
        <v>20</v>
      </c>
      <c r="E450" s="199">
        <f>ROUND(65000*1.045,0)</f>
        <v>67925</v>
      </c>
      <c r="F450" s="200">
        <f t="shared" si="23"/>
        <v>1358500</v>
      </c>
      <c r="G450" s="81"/>
      <c r="H450" s="212"/>
      <c r="I450" s="212"/>
      <c r="J450" s="211"/>
    </row>
    <row r="451" spans="1:10" x14ac:dyDescent="0.25">
      <c r="A451" s="222">
        <f t="shared" si="21"/>
        <v>38</v>
      </c>
      <c r="B451" s="116" t="s">
        <v>51</v>
      </c>
      <c r="C451" s="108"/>
      <c r="D451" s="99"/>
      <c r="E451" s="203"/>
      <c r="F451" s="200"/>
      <c r="G451" s="81"/>
      <c r="H451" s="211"/>
      <c r="I451" s="211"/>
      <c r="J451" s="211"/>
    </row>
    <row r="452" spans="1:10" ht="57" x14ac:dyDescent="0.25">
      <c r="A452" s="222">
        <f t="shared" si="21"/>
        <v>39</v>
      </c>
      <c r="B452" s="115" t="s">
        <v>140</v>
      </c>
      <c r="C452" s="102" t="s">
        <v>141</v>
      </c>
      <c r="D452" s="103">
        <v>180</v>
      </c>
      <c r="E452" s="199">
        <f>ROUND(5850*1.045,0)</f>
        <v>6113</v>
      </c>
      <c r="F452" s="200">
        <f>ROUND((D452*E452),0)</f>
        <v>1100340</v>
      </c>
      <c r="G452" s="81"/>
      <c r="H452" s="212"/>
      <c r="I452" s="212"/>
      <c r="J452" s="211"/>
    </row>
    <row r="453" spans="1:10" x14ac:dyDescent="0.25">
      <c r="A453" s="219"/>
      <c r="B453" s="18" t="s">
        <v>56</v>
      </c>
      <c r="C453" s="54"/>
      <c r="D453" s="130"/>
      <c r="E453" s="28"/>
      <c r="F453" s="79">
        <f>SUM(F415:F452)</f>
        <v>65872181</v>
      </c>
      <c r="G453" s="81"/>
      <c r="H453" s="211"/>
      <c r="I453" s="211"/>
      <c r="J453" s="211"/>
    </row>
    <row r="454" spans="1:10" x14ac:dyDescent="0.25">
      <c r="A454" s="19"/>
      <c r="B454" s="19" t="s">
        <v>60</v>
      </c>
      <c r="C454" s="19"/>
      <c r="D454" s="19"/>
      <c r="E454" s="19"/>
      <c r="F454" s="29">
        <f>ROUND(F453/1.3495,0)</f>
        <v>48812287</v>
      </c>
      <c r="G454" s="81"/>
      <c r="H454" s="212"/>
      <c r="I454" s="212"/>
      <c r="J454" s="211"/>
    </row>
    <row r="455" spans="1:10" x14ac:dyDescent="0.25">
      <c r="A455" s="19"/>
      <c r="B455" s="19" t="s">
        <v>61</v>
      </c>
      <c r="C455" s="131">
        <v>0.24</v>
      </c>
      <c r="D455" s="19"/>
      <c r="E455" s="19"/>
      <c r="F455" s="29">
        <f>ROUND(F454*C455,0)</f>
        <v>11714949</v>
      </c>
      <c r="G455" s="81"/>
      <c r="H455" s="211"/>
      <c r="I455" s="211"/>
      <c r="J455" s="211"/>
    </row>
    <row r="456" spans="1:10" x14ac:dyDescent="0.25">
      <c r="A456" s="19"/>
      <c r="B456" s="19" t="s">
        <v>57</v>
      </c>
      <c r="C456" s="131">
        <v>0.05</v>
      </c>
      <c r="D456" s="19"/>
      <c r="E456" s="19"/>
      <c r="F456" s="29">
        <f>ROUND(F454*C456,0)</f>
        <v>2440614</v>
      </c>
      <c r="G456" s="81"/>
      <c r="H456" s="214"/>
      <c r="I456" s="214"/>
      <c r="J456" s="214"/>
    </row>
    <row r="457" spans="1:10" x14ac:dyDescent="0.25">
      <c r="A457" s="19"/>
      <c r="B457" s="19" t="s">
        <v>62</v>
      </c>
      <c r="C457" s="131">
        <v>0.05</v>
      </c>
      <c r="D457" s="19"/>
      <c r="E457" s="19"/>
      <c r="F457" s="29">
        <f>ROUND(F454*C457,0)</f>
        <v>2440614</v>
      </c>
      <c r="G457" s="81"/>
      <c r="H457" s="214"/>
      <c r="I457" s="214"/>
      <c r="J457" s="214"/>
    </row>
    <row r="458" spans="1:10" x14ac:dyDescent="0.25">
      <c r="A458" s="19"/>
      <c r="B458" s="132" t="s">
        <v>63</v>
      </c>
      <c r="C458" s="133">
        <v>0.19</v>
      </c>
      <c r="D458" s="120"/>
      <c r="E458" s="120"/>
      <c r="F458" s="35">
        <f>ROUND(F457*19%,0)</f>
        <v>463717</v>
      </c>
      <c r="G458" s="81"/>
      <c r="H458" s="2"/>
    </row>
    <row r="459" spans="1:10" x14ac:dyDescent="0.25">
      <c r="A459" s="19"/>
      <c r="B459" s="18" t="s">
        <v>56</v>
      </c>
      <c r="C459" s="19"/>
      <c r="D459" s="19"/>
      <c r="E459" s="19"/>
      <c r="F459" s="30">
        <f>SUM(F454:F458)</f>
        <v>65872181</v>
      </c>
      <c r="G459" s="81"/>
    </row>
    <row r="460" spans="1:10" ht="15.75" thickBot="1" x14ac:dyDescent="0.3">
      <c r="A460" s="81"/>
      <c r="B460" s="81"/>
      <c r="C460" s="81"/>
      <c r="D460" s="81"/>
      <c r="E460" s="81"/>
      <c r="F460" s="81"/>
      <c r="G460" s="81"/>
    </row>
    <row r="461" spans="1:10" ht="51" customHeight="1" thickBot="1" x14ac:dyDescent="0.3">
      <c r="A461" s="460" t="str">
        <f>'[1]Carrera 8  entre calles28ALCAN '!A3</f>
        <v>REPOSICIÓN RED DE  ACUEDUCTO EN LA CALLE 37 ENTRE CARRERAS 7 Y 9   EN EL MUNICIPIO DE SUPIA CALDAS</v>
      </c>
      <c r="B461" s="461"/>
      <c r="C461" s="461"/>
      <c r="D461" s="461"/>
      <c r="E461" s="461"/>
      <c r="F461" s="462"/>
      <c r="G461" s="81"/>
    </row>
    <row r="462" spans="1:10" ht="15.75" thickBot="1" x14ac:dyDescent="0.3">
      <c r="A462" s="463" t="s">
        <v>10</v>
      </c>
      <c r="B462" s="152" t="s">
        <v>0</v>
      </c>
      <c r="C462" s="463" t="s">
        <v>11</v>
      </c>
      <c r="D462" s="465" t="s">
        <v>12</v>
      </c>
      <c r="E462" s="466"/>
      <c r="F462" s="467"/>
      <c r="G462" s="81"/>
    </row>
    <row r="463" spans="1:10" x14ac:dyDescent="0.25">
      <c r="A463" s="464"/>
      <c r="B463" s="153"/>
      <c r="C463" s="464"/>
      <c r="D463" s="154" t="s">
        <v>13</v>
      </c>
      <c r="E463" s="155" t="s">
        <v>14</v>
      </c>
      <c r="F463" s="156" t="s">
        <v>15</v>
      </c>
      <c r="G463" s="298"/>
    </row>
    <row r="464" spans="1:10" x14ac:dyDescent="0.25">
      <c r="A464" s="166">
        <v>1</v>
      </c>
      <c r="B464" s="167" t="s">
        <v>858</v>
      </c>
      <c r="C464" s="168"/>
      <c r="D464" s="169"/>
      <c r="E464" s="170"/>
      <c r="F464" s="171"/>
      <c r="G464" s="312"/>
    </row>
    <row r="465" spans="1:7" x14ac:dyDescent="0.25">
      <c r="A465" s="157">
        <f>A464+1</f>
        <v>2</v>
      </c>
      <c r="B465" s="158" t="s">
        <v>70</v>
      </c>
      <c r="C465" s="159" t="s">
        <v>203</v>
      </c>
      <c r="D465" s="160">
        <v>84</v>
      </c>
      <c r="E465" s="148">
        <v>4300</v>
      </c>
      <c r="F465" s="161">
        <v>361200</v>
      </c>
      <c r="G465" s="312"/>
    </row>
    <row r="466" spans="1:7" ht="43.5" x14ac:dyDescent="0.25">
      <c r="A466" s="157">
        <f t="shared" ref="A466:A488" si="24">A465+1</f>
        <v>3</v>
      </c>
      <c r="B466" s="174" t="s">
        <v>875</v>
      </c>
      <c r="C466" s="159" t="s">
        <v>203</v>
      </c>
      <c r="D466" s="160">
        <v>170</v>
      </c>
      <c r="E466" s="148">
        <v>12600</v>
      </c>
      <c r="F466" s="161">
        <v>2142000</v>
      </c>
      <c r="G466" s="312"/>
    </row>
    <row r="467" spans="1:7" ht="43.5" x14ac:dyDescent="0.25">
      <c r="A467" s="157">
        <f t="shared" si="24"/>
        <v>4</v>
      </c>
      <c r="B467" s="175" t="s">
        <v>876</v>
      </c>
      <c r="C467" s="159" t="s">
        <v>864</v>
      </c>
      <c r="D467" s="160">
        <v>2</v>
      </c>
      <c r="E467" s="148">
        <v>165000</v>
      </c>
      <c r="F467" s="162">
        <v>330000</v>
      </c>
      <c r="G467" s="312"/>
    </row>
    <row r="468" spans="1:7" ht="29.25" x14ac:dyDescent="0.25">
      <c r="A468" s="157">
        <f t="shared" si="24"/>
        <v>5</v>
      </c>
      <c r="B468" s="175" t="s">
        <v>877</v>
      </c>
      <c r="C468" s="159" t="s">
        <v>864</v>
      </c>
      <c r="D468" s="160">
        <v>1</v>
      </c>
      <c r="E468" s="148">
        <v>660000</v>
      </c>
      <c r="F468" s="161">
        <v>660000</v>
      </c>
      <c r="G468" s="312"/>
    </row>
    <row r="469" spans="1:7" x14ac:dyDescent="0.25">
      <c r="A469" s="157">
        <f t="shared" si="24"/>
        <v>6</v>
      </c>
      <c r="B469" s="176" t="s">
        <v>25</v>
      </c>
      <c r="C469" s="168"/>
      <c r="D469" s="169"/>
      <c r="E469" s="172"/>
      <c r="F469" s="171"/>
      <c r="G469" s="312"/>
    </row>
    <row r="470" spans="1:7" ht="29.25" x14ac:dyDescent="0.25">
      <c r="A470" s="157">
        <f t="shared" si="24"/>
        <v>7</v>
      </c>
      <c r="B470" s="175" t="s">
        <v>859</v>
      </c>
      <c r="C470" s="159" t="s">
        <v>191</v>
      </c>
      <c r="D470" s="160">
        <v>114</v>
      </c>
      <c r="E470" s="148">
        <v>94500</v>
      </c>
      <c r="F470" s="161">
        <v>5425245</v>
      </c>
      <c r="G470" s="312"/>
    </row>
    <row r="471" spans="1:7" x14ac:dyDescent="0.25">
      <c r="A471" s="157">
        <f t="shared" si="24"/>
        <v>8</v>
      </c>
      <c r="B471" s="175" t="s">
        <v>860</v>
      </c>
      <c r="C471" s="159" t="s">
        <v>203</v>
      </c>
      <c r="D471" s="160">
        <v>150</v>
      </c>
      <c r="E471" s="148">
        <v>9300</v>
      </c>
      <c r="F471" s="161">
        <v>1395000</v>
      </c>
      <c r="G471" s="312"/>
    </row>
    <row r="472" spans="1:7" x14ac:dyDescent="0.25">
      <c r="A472" s="157">
        <f t="shared" si="24"/>
        <v>9</v>
      </c>
      <c r="B472" s="176" t="s">
        <v>28</v>
      </c>
      <c r="C472" s="168"/>
      <c r="D472" s="169"/>
      <c r="E472" s="172"/>
      <c r="F472" s="171"/>
      <c r="G472" s="312"/>
    </row>
    <row r="473" spans="1:7" ht="29.25" x14ac:dyDescent="0.25">
      <c r="A473" s="157">
        <f t="shared" si="24"/>
        <v>10</v>
      </c>
      <c r="B473" s="175" t="s">
        <v>861</v>
      </c>
      <c r="C473" s="159" t="s">
        <v>191</v>
      </c>
      <c r="D473" s="160">
        <v>150</v>
      </c>
      <c r="E473" s="148">
        <v>38000</v>
      </c>
      <c r="F473" s="161">
        <v>3638880</v>
      </c>
      <c r="G473" s="312"/>
    </row>
    <row r="474" spans="1:7" ht="30" x14ac:dyDescent="0.25">
      <c r="A474" s="157">
        <f t="shared" si="24"/>
        <v>11</v>
      </c>
      <c r="B474" s="176" t="s">
        <v>700</v>
      </c>
      <c r="C474" s="168"/>
      <c r="D474" s="169"/>
      <c r="E474" s="172"/>
      <c r="F474" s="173"/>
      <c r="G474" s="312"/>
    </row>
    <row r="475" spans="1:7" ht="34.5" customHeight="1" x14ac:dyDescent="0.25">
      <c r="A475" s="157">
        <f t="shared" si="24"/>
        <v>12</v>
      </c>
      <c r="B475" s="175" t="s">
        <v>862</v>
      </c>
      <c r="C475" s="159" t="s">
        <v>203</v>
      </c>
      <c r="D475" s="160">
        <v>84</v>
      </c>
      <c r="E475" s="148">
        <v>3962</v>
      </c>
      <c r="F475" s="161">
        <v>332808</v>
      </c>
      <c r="G475" s="312"/>
    </row>
    <row r="476" spans="1:7" ht="45.75" customHeight="1" x14ac:dyDescent="0.25">
      <c r="A476" s="157">
        <f t="shared" si="24"/>
        <v>13</v>
      </c>
      <c r="B476" s="175" t="s">
        <v>863</v>
      </c>
      <c r="C476" s="159" t="s">
        <v>864</v>
      </c>
      <c r="D476" s="160">
        <v>2</v>
      </c>
      <c r="E476" s="148">
        <v>75000</v>
      </c>
      <c r="F476" s="161">
        <v>150000</v>
      </c>
      <c r="G476" s="312"/>
    </row>
    <row r="477" spans="1:7" ht="29.25" x14ac:dyDescent="0.25">
      <c r="A477" s="157">
        <f t="shared" si="24"/>
        <v>14</v>
      </c>
      <c r="B477" s="164" t="s">
        <v>865</v>
      </c>
      <c r="C477" s="159" t="s">
        <v>864</v>
      </c>
      <c r="D477" s="160">
        <v>1</v>
      </c>
      <c r="E477" s="163">
        <v>6780</v>
      </c>
      <c r="F477" s="162">
        <v>6780</v>
      </c>
      <c r="G477" s="312"/>
    </row>
    <row r="478" spans="1:7" ht="103.5" customHeight="1" x14ac:dyDescent="0.25">
      <c r="A478" s="157">
        <f t="shared" si="24"/>
        <v>15</v>
      </c>
      <c r="B478" s="164" t="s">
        <v>866</v>
      </c>
      <c r="C478" s="159" t="s">
        <v>864</v>
      </c>
      <c r="D478" s="160">
        <v>20</v>
      </c>
      <c r="E478" s="163">
        <v>42039</v>
      </c>
      <c r="F478" s="162">
        <v>840780</v>
      </c>
      <c r="G478" s="312"/>
    </row>
    <row r="479" spans="1:7" x14ac:dyDescent="0.25">
      <c r="A479" s="157">
        <f t="shared" si="24"/>
        <v>16</v>
      </c>
      <c r="B479" s="176" t="s">
        <v>126</v>
      </c>
      <c r="C479" s="168"/>
      <c r="D479" s="169"/>
      <c r="E479" s="172"/>
      <c r="F479" s="171"/>
      <c r="G479" s="312"/>
    </row>
    <row r="480" spans="1:7" ht="43.5" x14ac:dyDescent="0.25">
      <c r="A480" s="157">
        <f t="shared" si="24"/>
        <v>17</v>
      </c>
      <c r="B480" s="175" t="s">
        <v>867</v>
      </c>
      <c r="C480" s="159" t="s">
        <v>191</v>
      </c>
      <c r="D480" s="160">
        <v>95.76</v>
      </c>
      <c r="E480" s="148">
        <v>134950</v>
      </c>
      <c r="F480" s="161">
        <v>12922812</v>
      </c>
      <c r="G480" s="312"/>
    </row>
    <row r="481" spans="1:7" ht="32.25" customHeight="1" x14ac:dyDescent="0.25">
      <c r="A481" s="157">
        <f t="shared" si="24"/>
        <v>18</v>
      </c>
      <c r="B481" s="175" t="s">
        <v>868</v>
      </c>
      <c r="C481" s="159" t="s">
        <v>191</v>
      </c>
      <c r="D481" s="160">
        <v>7</v>
      </c>
      <c r="E481" s="148">
        <v>95000</v>
      </c>
      <c r="F481" s="161">
        <v>665000</v>
      </c>
      <c r="G481" s="312"/>
    </row>
    <row r="482" spans="1:7" ht="30" x14ac:dyDescent="0.25">
      <c r="A482" s="157">
        <f t="shared" si="24"/>
        <v>19</v>
      </c>
      <c r="B482" s="176" t="s">
        <v>136</v>
      </c>
      <c r="C482" s="168"/>
      <c r="D482" s="169"/>
      <c r="E482" s="172"/>
      <c r="F482" s="171"/>
      <c r="G482" s="312"/>
    </row>
    <row r="483" spans="1:7" ht="62.25" customHeight="1" x14ac:dyDescent="0.25">
      <c r="A483" s="157">
        <f t="shared" si="24"/>
        <v>20</v>
      </c>
      <c r="B483" s="164" t="s">
        <v>869</v>
      </c>
      <c r="C483" s="159" t="s">
        <v>115</v>
      </c>
      <c r="D483" s="160">
        <v>153.17000000000002</v>
      </c>
      <c r="E483" s="148">
        <v>29300</v>
      </c>
      <c r="F483" s="161">
        <v>4487881</v>
      </c>
      <c r="G483" s="312"/>
    </row>
    <row r="484" spans="1:7" x14ac:dyDescent="0.25">
      <c r="A484" s="157">
        <f t="shared" si="24"/>
        <v>21</v>
      </c>
      <c r="B484" s="176" t="s">
        <v>870</v>
      </c>
      <c r="C484" s="168"/>
      <c r="D484" s="169"/>
      <c r="E484" s="172"/>
      <c r="F484" s="173"/>
      <c r="G484" s="312"/>
    </row>
    <row r="485" spans="1:7" ht="29.25" x14ac:dyDescent="0.25">
      <c r="A485" s="157">
        <f t="shared" si="24"/>
        <v>22</v>
      </c>
      <c r="B485" s="175" t="s">
        <v>871</v>
      </c>
      <c r="C485" s="159" t="s">
        <v>115</v>
      </c>
      <c r="D485" s="160">
        <v>92.82</v>
      </c>
      <c r="E485" s="148">
        <v>724560</v>
      </c>
      <c r="F485" s="161">
        <v>33626830</v>
      </c>
      <c r="G485" s="312"/>
    </row>
    <row r="486" spans="1:7" x14ac:dyDescent="0.25">
      <c r="A486" s="157">
        <f t="shared" si="24"/>
        <v>23</v>
      </c>
      <c r="B486" s="176" t="s">
        <v>872</v>
      </c>
      <c r="C486" s="168"/>
      <c r="D486" s="169"/>
      <c r="E486" s="172"/>
      <c r="F486" s="173"/>
      <c r="G486" s="312"/>
    </row>
    <row r="487" spans="1:7" ht="43.5" x14ac:dyDescent="0.25">
      <c r="A487" s="157">
        <f t="shared" si="24"/>
        <v>24</v>
      </c>
      <c r="B487" s="175" t="s">
        <v>873</v>
      </c>
      <c r="C487" s="159" t="s">
        <v>18</v>
      </c>
      <c r="D487" s="160">
        <v>156</v>
      </c>
      <c r="E487" s="148">
        <v>16500</v>
      </c>
      <c r="F487" s="161">
        <v>1287000</v>
      </c>
      <c r="G487" s="312"/>
    </row>
    <row r="488" spans="1:7" ht="35.25" customHeight="1" x14ac:dyDescent="0.25">
      <c r="A488" s="157">
        <f t="shared" si="24"/>
        <v>25</v>
      </c>
      <c r="B488" s="164" t="s">
        <v>874</v>
      </c>
      <c r="C488" s="159" t="s">
        <v>141</v>
      </c>
      <c r="D488" s="160">
        <v>667</v>
      </c>
      <c r="E488" s="163">
        <v>4500</v>
      </c>
      <c r="F488" s="165">
        <v>1500840</v>
      </c>
      <c r="G488" s="312"/>
    </row>
    <row r="489" spans="1:7" x14ac:dyDescent="0.25">
      <c r="A489" s="219"/>
      <c r="B489" s="18" t="s">
        <v>56</v>
      </c>
      <c r="C489" s="54"/>
      <c r="D489" s="130"/>
      <c r="E489" s="28"/>
      <c r="F489" s="79">
        <f>SUM(F464:F488)</f>
        <v>69773056</v>
      </c>
      <c r="G489" s="81"/>
    </row>
    <row r="490" spans="1:7" x14ac:dyDescent="0.25">
      <c r="A490" s="19"/>
      <c r="B490" s="19" t="s">
        <v>60</v>
      </c>
      <c r="C490" s="19"/>
      <c r="D490" s="19"/>
      <c r="E490" s="19"/>
      <c r="F490" s="29">
        <f>ROUND(F489/1.3495,0)</f>
        <v>51702894</v>
      </c>
      <c r="G490" s="81"/>
    </row>
    <row r="491" spans="1:7" x14ac:dyDescent="0.25">
      <c r="A491" s="19"/>
      <c r="B491" s="19" t="s">
        <v>61</v>
      </c>
      <c r="C491" s="131">
        <v>0.24</v>
      </c>
      <c r="D491" s="19"/>
      <c r="E491" s="19"/>
      <c r="F491" s="29">
        <f>ROUND(F490*C491,0)</f>
        <v>12408695</v>
      </c>
      <c r="G491" s="81"/>
    </row>
    <row r="492" spans="1:7" x14ac:dyDescent="0.25">
      <c r="A492" s="19"/>
      <c r="B492" s="19" t="s">
        <v>57</v>
      </c>
      <c r="C492" s="131">
        <v>0.05</v>
      </c>
      <c r="D492" s="19"/>
      <c r="E492" s="19"/>
      <c r="F492" s="29">
        <f>ROUND(F490*C492,0)</f>
        <v>2585145</v>
      </c>
      <c r="G492" s="81"/>
    </row>
    <row r="493" spans="1:7" x14ac:dyDescent="0.25">
      <c r="A493" s="19"/>
      <c r="B493" s="19" t="s">
        <v>62</v>
      </c>
      <c r="C493" s="131">
        <v>0.05</v>
      </c>
      <c r="D493" s="19"/>
      <c r="E493" s="19"/>
      <c r="F493" s="29">
        <f>ROUND(F490*C493,0)</f>
        <v>2585145</v>
      </c>
      <c r="G493" s="81"/>
    </row>
    <row r="494" spans="1:7" x14ac:dyDescent="0.25">
      <c r="A494" s="19"/>
      <c r="B494" s="132" t="s">
        <v>63</v>
      </c>
      <c r="C494" s="133">
        <v>0.19</v>
      </c>
      <c r="D494" s="120"/>
      <c r="E494" s="120"/>
      <c r="F494" s="35">
        <f>ROUND(F493*19%,0)</f>
        <v>491178</v>
      </c>
      <c r="G494" s="81"/>
    </row>
    <row r="495" spans="1:7" x14ac:dyDescent="0.25">
      <c r="A495" s="19"/>
      <c r="B495" s="18" t="s">
        <v>56</v>
      </c>
      <c r="C495" s="19"/>
      <c r="D495" s="19"/>
      <c r="E495" s="19"/>
      <c r="F495" s="30">
        <f>SUM(F490:F494)</f>
        <v>69773057</v>
      </c>
      <c r="G495" s="81"/>
    </row>
    <row r="496" spans="1:7" x14ac:dyDescent="0.25">
      <c r="A496" s="81"/>
      <c r="B496" s="81"/>
      <c r="C496" s="81"/>
      <c r="D496" s="81"/>
      <c r="E496" s="81"/>
      <c r="F496" s="81"/>
      <c r="G496" s="81"/>
    </row>
    <row r="497" spans="1:13" x14ac:dyDescent="0.25">
      <c r="A497" s="81"/>
      <c r="B497" s="81"/>
      <c r="C497" s="81"/>
      <c r="D497" s="81"/>
      <c r="E497" s="81"/>
      <c r="F497" s="81"/>
      <c r="G497" s="81"/>
    </row>
    <row r="498" spans="1:13" ht="15.75" x14ac:dyDescent="0.25">
      <c r="A498" s="81"/>
      <c r="B498" s="472" t="s">
        <v>810</v>
      </c>
      <c r="C498" s="472"/>
      <c r="D498" s="81"/>
      <c r="E498" s="81"/>
      <c r="F498" s="149">
        <f>F453+F403+F495</f>
        <v>198424692</v>
      </c>
      <c r="G498" s="80"/>
      <c r="H498" s="3"/>
      <c r="K498" s="139"/>
      <c r="L498" s="146"/>
      <c r="M498" s="147"/>
    </row>
    <row r="499" spans="1:13" x14ac:dyDescent="0.25">
      <c r="A499" s="81"/>
      <c r="B499" s="81"/>
      <c r="C499" s="81"/>
      <c r="D499" s="81"/>
      <c r="E499" s="81"/>
      <c r="F499" s="81"/>
      <c r="G499" s="81"/>
    </row>
    <row r="500" spans="1:13" x14ac:dyDescent="0.25">
      <c r="A500" s="81"/>
      <c r="B500" s="81"/>
      <c r="C500" s="81"/>
      <c r="D500" s="81"/>
      <c r="E500" s="81"/>
      <c r="F500" s="81"/>
      <c r="G500" s="81"/>
    </row>
    <row r="501" spans="1:13" x14ac:dyDescent="0.25">
      <c r="A501" s="81"/>
      <c r="B501" s="471" t="s">
        <v>817</v>
      </c>
      <c r="C501" s="471"/>
      <c r="D501" s="81"/>
      <c r="E501" s="81"/>
      <c r="F501" s="81"/>
      <c r="G501" s="81"/>
    </row>
    <row r="502" spans="1:13" x14ac:dyDescent="0.25">
      <c r="A502" s="81"/>
      <c r="B502" s="81"/>
      <c r="C502" s="81"/>
      <c r="D502" s="81"/>
      <c r="E502" s="81"/>
      <c r="F502" s="81"/>
      <c r="G502" s="81"/>
    </row>
    <row r="503" spans="1:13" x14ac:dyDescent="0.25">
      <c r="A503" s="422" t="s">
        <v>811</v>
      </c>
      <c r="B503" s="422"/>
      <c r="C503" s="422"/>
      <c r="D503" s="422"/>
      <c r="E503" s="422"/>
      <c r="F503" s="422"/>
      <c r="G503" s="81"/>
    </row>
    <row r="504" spans="1:13" x14ac:dyDescent="0.25">
      <c r="A504" s="420" t="s">
        <v>10</v>
      </c>
      <c r="B504" s="420" t="s">
        <v>0</v>
      </c>
      <c r="C504" s="420" t="s">
        <v>11</v>
      </c>
      <c r="D504" s="420" t="s">
        <v>12</v>
      </c>
      <c r="E504" s="420"/>
      <c r="F504" s="420"/>
      <c r="G504" s="81"/>
    </row>
    <row r="505" spans="1:13" x14ac:dyDescent="0.25">
      <c r="A505" s="420"/>
      <c r="B505" s="420"/>
      <c r="C505" s="420"/>
      <c r="D505" s="54" t="s">
        <v>13</v>
      </c>
      <c r="E505" s="54" t="s">
        <v>14</v>
      </c>
      <c r="F505" s="54" t="s">
        <v>15</v>
      </c>
      <c r="G505" s="81"/>
    </row>
    <row r="506" spans="1:13" x14ac:dyDescent="0.25">
      <c r="A506" s="219">
        <v>1</v>
      </c>
      <c r="B506" s="18" t="s">
        <v>16</v>
      </c>
      <c r="C506" s="420"/>
      <c r="D506" s="420"/>
      <c r="E506" s="420"/>
      <c r="F506" s="20"/>
      <c r="G506" s="81"/>
    </row>
    <row r="507" spans="1:13" x14ac:dyDescent="0.25">
      <c r="A507" s="222">
        <v>2</v>
      </c>
      <c r="B507" s="55" t="s">
        <v>73</v>
      </c>
      <c r="C507" s="286" t="s">
        <v>18</v>
      </c>
      <c r="D507" s="61">
        <v>744</v>
      </c>
      <c r="E507" s="243">
        <v>5230</v>
      </c>
      <c r="F507" s="104">
        <f t="shared" ref="F507:F537" si="25">ROUND((D507*E507),0)</f>
        <v>3891120</v>
      </c>
      <c r="G507" s="81"/>
    </row>
    <row r="508" spans="1:13" ht="28.5" x14ac:dyDescent="0.25">
      <c r="A508" s="219">
        <v>3</v>
      </c>
      <c r="B508" s="9" t="s">
        <v>812</v>
      </c>
      <c r="C508" s="286" t="s">
        <v>18</v>
      </c>
      <c r="D508" s="61">
        <v>744</v>
      </c>
      <c r="E508" s="242">
        <v>6500</v>
      </c>
      <c r="F508" s="104">
        <f t="shared" si="25"/>
        <v>4836000</v>
      </c>
      <c r="G508" s="81"/>
    </row>
    <row r="509" spans="1:13" x14ac:dyDescent="0.25">
      <c r="A509" s="222">
        <v>4</v>
      </c>
      <c r="B509" s="55" t="s">
        <v>22</v>
      </c>
      <c r="C509" s="286" t="s">
        <v>120</v>
      </c>
      <c r="D509" s="61">
        <v>2</v>
      </c>
      <c r="E509" s="243">
        <v>155814</v>
      </c>
      <c r="F509" s="104">
        <f t="shared" si="25"/>
        <v>311628</v>
      </c>
      <c r="G509" s="81"/>
    </row>
    <row r="510" spans="1:13" x14ac:dyDescent="0.25">
      <c r="A510" s="219">
        <v>5</v>
      </c>
      <c r="B510" s="55" t="s">
        <v>24</v>
      </c>
      <c r="C510" s="286" t="s">
        <v>120</v>
      </c>
      <c r="D510" s="61">
        <v>1</v>
      </c>
      <c r="E510" s="243">
        <v>788768</v>
      </c>
      <c r="F510" s="104">
        <f t="shared" si="25"/>
        <v>788768</v>
      </c>
      <c r="G510" s="81"/>
    </row>
    <row r="511" spans="1:13" x14ac:dyDescent="0.25">
      <c r="A511" s="222">
        <v>6</v>
      </c>
      <c r="B511" s="18" t="s">
        <v>25</v>
      </c>
      <c r="C511" s="20"/>
      <c r="D511" s="20"/>
      <c r="E511" s="243">
        <v>0</v>
      </c>
      <c r="F511" s="104">
        <f t="shared" si="25"/>
        <v>0</v>
      </c>
      <c r="G511" s="81"/>
    </row>
    <row r="512" spans="1:13" x14ac:dyDescent="0.25">
      <c r="A512" s="219">
        <v>7</v>
      </c>
      <c r="B512" s="56" t="s">
        <v>26</v>
      </c>
      <c r="C512" s="286" t="s">
        <v>18</v>
      </c>
      <c r="D512" s="61">
        <v>10</v>
      </c>
      <c r="E512" s="243">
        <v>7652</v>
      </c>
      <c r="F512" s="104">
        <f t="shared" si="25"/>
        <v>76520</v>
      </c>
      <c r="G512" s="81"/>
    </row>
    <row r="513" spans="1:7" ht="43.5" x14ac:dyDescent="0.25">
      <c r="A513" s="222">
        <v>8</v>
      </c>
      <c r="B513" s="17" t="s">
        <v>27</v>
      </c>
      <c r="C513" s="286" t="s">
        <v>64</v>
      </c>
      <c r="D513" s="61">
        <v>1</v>
      </c>
      <c r="E513" s="243">
        <v>83560</v>
      </c>
      <c r="F513" s="104">
        <f t="shared" si="25"/>
        <v>83560</v>
      </c>
      <c r="G513" s="81"/>
    </row>
    <row r="514" spans="1:7" x14ac:dyDescent="0.25">
      <c r="A514" s="219">
        <v>9</v>
      </c>
      <c r="B514" s="18" t="s">
        <v>28</v>
      </c>
      <c r="C514" s="20"/>
      <c r="D514" s="20"/>
      <c r="E514" s="243">
        <v>0</v>
      </c>
      <c r="F514" s="104">
        <f t="shared" si="25"/>
        <v>0</v>
      </c>
      <c r="G514" s="81"/>
    </row>
    <row r="515" spans="1:7" x14ac:dyDescent="0.25">
      <c r="A515" s="222">
        <v>10</v>
      </c>
      <c r="B515" s="55" t="s">
        <v>29</v>
      </c>
      <c r="C515" s="286" t="s">
        <v>64</v>
      </c>
      <c r="D515" s="61">
        <v>200</v>
      </c>
      <c r="E515" s="243">
        <v>26395</v>
      </c>
      <c r="F515" s="104">
        <f t="shared" si="25"/>
        <v>5279000</v>
      </c>
      <c r="G515" s="81"/>
    </row>
    <row r="516" spans="1:7" x14ac:dyDescent="0.25">
      <c r="A516" s="219">
        <v>11</v>
      </c>
      <c r="B516" s="55" t="s">
        <v>156</v>
      </c>
      <c r="C516" s="286" t="s">
        <v>64</v>
      </c>
      <c r="D516" s="61">
        <v>182</v>
      </c>
      <c r="E516" s="243">
        <v>30775</v>
      </c>
      <c r="F516" s="104">
        <f t="shared" si="25"/>
        <v>5601050</v>
      </c>
      <c r="G516" s="81"/>
    </row>
    <row r="517" spans="1:7" ht="29.25" x14ac:dyDescent="0.25">
      <c r="A517" s="222">
        <v>12</v>
      </c>
      <c r="B517" s="17" t="s">
        <v>279</v>
      </c>
      <c r="C517" s="286" t="s">
        <v>64</v>
      </c>
      <c r="D517" s="61">
        <v>96</v>
      </c>
      <c r="E517" s="243">
        <v>32848</v>
      </c>
      <c r="F517" s="104">
        <f t="shared" si="25"/>
        <v>3153408</v>
      </c>
      <c r="G517" s="81"/>
    </row>
    <row r="518" spans="1:7" x14ac:dyDescent="0.25">
      <c r="A518" s="219">
        <v>13</v>
      </c>
      <c r="B518" s="18" t="s">
        <v>80</v>
      </c>
      <c r="C518" s="20"/>
      <c r="D518" s="20"/>
      <c r="E518" s="243">
        <v>0</v>
      </c>
      <c r="F518" s="104">
        <f t="shared" si="25"/>
        <v>0</v>
      </c>
      <c r="G518" s="81"/>
    </row>
    <row r="519" spans="1:7" ht="29.25" x14ac:dyDescent="0.25">
      <c r="A519" s="222">
        <v>14</v>
      </c>
      <c r="B519" s="245" t="s">
        <v>813</v>
      </c>
      <c r="C519" s="286" t="s">
        <v>18</v>
      </c>
      <c r="D519" s="61">
        <v>420</v>
      </c>
      <c r="E519" s="243">
        <v>8500</v>
      </c>
      <c r="F519" s="104">
        <f t="shared" si="25"/>
        <v>3570000</v>
      </c>
      <c r="G519" s="81"/>
    </row>
    <row r="520" spans="1:7" ht="29.25" x14ac:dyDescent="0.25">
      <c r="A520" s="219">
        <v>15</v>
      </c>
      <c r="B520" s="245" t="s">
        <v>814</v>
      </c>
      <c r="C520" s="286" t="s">
        <v>18</v>
      </c>
      <c r="D520" s="61">
        <v>324</v>
      </c>
      <c r="E520" s="243">
        <v>9500</v>
      </c>
      <c r="F520" s="104">
        <f t="shared" si="25"/>
        <v>3078000</v>
      </c>
      <c r="G520" s="81"/>
    </row>
    <row r="521" spans="1:7" x14ac:dyDescent="0.25">
      <c r="A521" s="222">
        <v>16</v>
      </c>
      <c r="B521" s="55" t="s">
        <v>744</v>
      </c>
      <c r="C521" s="286" t="s">
        <v>37</v>
      </c>
      <c r="D521" s="61">
        <v>5</v>
      </c>
      <c r="E521" s="243">
        <v>150000</v>
      </c>
      <c r="F521" s="104">
        <f t="shared" si="25"/>
        <v>750000</v>
      </c>
      <c r="G521" s="81"/>
    </row>
    <row r="522" spans="1:7" x14ac:dyDescent="0.25">
      <c r="A522" s="219">
        <v>17</v>
      </c>
      <c r="B522" s="55" t="s">
        <v>815</v>
      </c>
      <c r="C522" s="286" t="s">
        <v>37</v>
      </c>
      <c r="D522" s="61">
        <v>1</v>
      </c>
      <c r="E522" s="243">
        <v>300000</v>
      </c>
      <c r="F522" s="104">
        <f t="shared" si="25"/>
        <v>300000</v>
      </c>
      <c r="G522" s="81"/>
    </row>
    <row r="523" spans="1:7" x14ac:dyDescent="0.25">
      <c r="A523" s="222">
        <v>18</v>
      </c>
      <c r="B523" s="55" t="s">
        <v>816</v>
      </c>
      <c r="C523" s="286" t="s">
        <v>37</v>
      </c>
      <c r="D523" s="61">
        <v>1</v>
      </c>
      <c r="E523" s="243">
        <v>150000</v>
      </c>
      <c r="F523" s="104">
        <f t="shared" si="25"/>
        <v>150000</v>
      </c>
      <c r="G523" s="81"/>
    </row>
    <row r="524" spans="1:7" ht="43.5" x14ac:dyDescent="0.25">
      <c r="A524" s="219">
        <v>19</v>
      </c>
      <c r="B524" s="17" t="s">
        <v>285</v>
      </c>
      <c r="C524" s="286" t="s">
        <v>37</v>
      </c>
      <c r="D524" s="61">
        <v>12</v>
      </c>
      <c r="E524" s="243">
        <v>42039</v>
      </c>
      <c r="F524" s="104">
        <f t="shared" si="25"/>
        <v>504468</v>
      </c>
      <c r="G524" s="81"/>
    </row>
    <row r="525" spans="1:7" x14ac:dyDescent="0.25">
      <c r="A525" s="222">
        <v>20</v>
      </c>
      <c r="B525" s="57" t="s">
        <v>286</v>
      </c>
      <c r="C525" s="286" t="s">
        <v>37</v>
      </c>
      <c r="D525" s="61">
        <v>1</v>
      </c>
      <c r="E525" s="243">
        <v>210191</v>
      </c>
      <c r="F525" s="104">
        <f t="shared" si="25"/>
        <v>210191</v>
      </c>
      <c r="G525" s="81"/>
    </row>
    <row r="526" spans="1:7" ht="57.75" x14ac:dyDescent="0.25">
      <c r="A526" s="219">
        <v>21</v>
      </c>
      <c r="B526" s="17" t="s">
        <v>287</v>
      </c>
      <c r="C526" s="286" t="s">
        <v>37</v>
      </c>
      <c r="D526" s="61">
        <v>1</v>
      </c>
      <c r="E526" s="243">
        <v>345600</v>
      </c>
      <c r="F526" s="104">
        <f t="shared" si="25"/>
        <v>345600</v>
      </c>
      <c r="G526" s="81"/>
    </row>
    <row r="527" spans="1:7" x14ac:dyDescent="0.25">
      <c r="A527" s="222">
        <v>22</v>
      </c>
      <c r="B527" s="17" t="s">
        <v>288</v>
      </c>
      <c r="C527" s="286" t="s">
        <v>120</v>
      </c>
      <c r="D527" s="61">
        <v>2</v>
      </c>
      <c r="E527" s="243">
        <v>350000</v>
      </c>
      <c r="F527" s="104">
        <f t="shared" si="25"/>
        <v>700000</v>
      </c>
      <c r="G527" s="81"/>
    </row>
    <row r="528" spans="1:7" x14ac:dyDescent="0.25">
      <c r="A528" s="219">
        <v>23</v>
      </c>
      <c r="B528" s="188" t="s">
        <v>43</v>
      </c>
      <c r="C528" s="20"/>
      <c r="D528" s="20"/>
      <c r="E528" s="243">
        <v>0</v>
      </c>
      <c r="F528" s="104">
        <f t="shared" si="25"/>
        <v>0</v>
      </c>
      <c r="G528" s="81"/>
    </row>
    <row r="529" spans="1:13" x14ac:dyDescent="0.25">
      <c r="A529" s="222">
        <v>24</v>
      </c>
      <c r="B529" s="17" t="s">
        <v>44</v>
      </c>
      <c r="C529" s="286" t="s">
        <v>64</v>
      </c>
      <c r="D529" s="61">
        <v>71</v>
      </c>
      <c r="E529" s="243">
        <v>121019</v>
      </c>
      <c r="F529" s="104">
        <f t="shared" si="25"/>
        <v>8592349</v>
      </c>
      <c r="G529" s="81"/>
    </row>
    <row r="530" spans="1:13" ht="29.25" x14ac:dyDescent="0.25">
      <c r="A530" s="219">
        <v>25</v>
      </c>
      <c r="B530" s="17" t="s">
        <v>45</v>
      </c>
      <c r="C530" s="286" t="s">
        <v>64</v>
      </c>
      <c r="D530" s="61">
        <v>210</v>
      </c>
      <c r="E530" s="243">
        <v>22197</v>
      </c>
      <c r="F530" s="104">
        <f t="shared" si="25"/>
        <v>4661370</v>
      </c>
      <c r="G530" s="81"/>
    </row>
    <row r="531" spans="1:13" x14ac:dyDescent="0.25">
      <c r="A531" s="222">
        <v>26</v>
      </c>
      <c r="B531" s="17" t="s">
        <v>47</v>
      </c>
      <c r="C531" s="286" t="s">
        <v>64</v>
      </c>
      <c r="D531" s="61">
        <v>36</v>
      </c>
      <c r="E531" s="243">
        <v>85500</v>
      </c>
      <c r="F531" s="104">
        <f t="shared" si="25"/>
        <v>3078000</v>
      </c>
      <c r="G531" s="81"/>
    </row>
    <row r="532" spans="1:13" x14ac:dyDescent="0.25">
      <c r="A532" s="219">
        <v>27</v>
      </c>
      <c r="B532" s="188" t="s">
        <v>48</v>
      </c>
      <c r="C532" s="20"/>
      <c r="D532" s="20"/>
      <c r="E532" s="243"/>
      <c r="F532" s="104">
        <f t="shared" si="25"/>
        <v>0</v>
      </c>
      <c r="G532" s="81"/>
    </row>
    <row r="533" spans="1:13" ht="29.25" x14ac:dyDescent="0.25">
      <c r="A533" s="222">
        <v>28</v>
      </c>
      <c r="B533" s="17" t="s">
        <v>49</v>
      </c>
      <c r="C533" s="286" t="s">
        <v>64</v>
      </c>
      <c r="D533" s="61">
        <v>0.5</v>
      </c>
      <c r="E533" s="243">
        <v>607296</v>
      </c>
      <c r="F533" s="104">
        <f t="shared" si="25"/>
        <v>303648</v>
      </c>
      <c r="G533" s="81"/>
    </row>
    <row r="534" spans="1:13" ht="29.25" x14ac:dyDescent="0.25">
      <c r="A534" s="219">
        <v>29</v>
      </c>
      <c r="B534" s="17" t="s">
        <v>50</v>
      </c>
      <c r="C534" s="286" t="s">
        <v>64</v>
      </c>
      <c r="D534" s="61">
        <v>1</v>
      </c>
      <c r="E534" s="243">
        <v>824735</v>
      </c>
      <c r="F534" s="104">
        <f t="shared" si="25"/>
        <v>824735</v>
      </c>
      <c r="G534" s="81"/>
    </row>
    <row r="535" spans="1:13" x14ac:dyDescent="0.25">
      <c r="A535" s="222">
        <v>30</v>
      </c>
      <c r="B535" s="188" t="s">
        <v>51</v>
      </c>
      <c r="C535" s="20"/>
      <c r="D535" s="20"/>
      <c r="E535" s="243">
        <v>0</v>
      </c>
      <c r="F535" s="104">
        <f t="shared" si="25"/>
        <v>0</v>
      </c>
      <c r="G535" s="81"/>
    </row>
    <row r="536" spans="1:13" x14ac:dyDescent="0.25">
      <c r="A536" s="219">
        <v>31</v>
      </c>
      <c r="B536" s="17" t="s">
        <v>52</v>
      </c>
      <c r="C536" s="286" t="s">
        <v>53</v>
      </c>
      <c r="D536" s="61">
        <v>36</v>
      </c>
      <c r="E536" s="243">
        <v>5922</v>
      </c>
      <c r="F536" s="104">
        <f t="shared" si="25"/>
        <v>213192</v>
      </c>
      <c r="G536" s="81"/>
    </row>
    <row r="537" spans="1:13" ht="28.5" x14ac:dyDescent="0.25">
      <c r="A537" s="222">
        <v>32</v>
      </c>
      <c r="B537" s="9" t="s">
        <v>54</v>
      </c>
      <c r="C537" s="286" t="s">
        <v>277</v>
      </c>
      <c r="D537" s="61">
        <v>1.25</v>
      </c>
      <c r="E537" s="242">
        <v>1673138</v>
      </c>
      <c r="F537" s="104">
        <f t="shared" si="25"/>
        <v>2091423</v>
      </c>
      <c r="G537" s="81"/>
      <c r="K537" s="53"/>
    </row>
    <row r="538" spans="1:13" x14ac:dyDescent="0.25">
      <c r="A538" s="219"/>
      <c r="B538" s="18" t="s">
        <v>56</v>
      </c>
      <c r="C538" s="54"/>
      <c r="D538" s="130"/>
      <c r="E538" s="28"/>
      <c r="F538" s="79">
        <f>SUM(F507:F537)</f>
        <v>53394030</v>
      </c>
      <c r="G538" s="81"/>
    </row>
    <row r="539" spans="1:13" x14ac:dyDescent="0.25">
      <c r="A539" s="19"/>
      <c r="B539" s="19" t="s">
        <v>60</v>
      </c>
      <c r="C539" s="19"/>
      <c r="D539" s="19"/>
      <c r="E539" s="19"/>
      <c r="F539" s="29">
        <f>ROUND(F538/1.3495,0)</f>
        <v>39565787</v>
      </c>
      <c r="G539" s="81"/>
    </row>
    <row r="540" spans="1:13" x14ac:dyDescent="0.25">
      <c r="A540" s="19"/>
      <c r="B540" s="19" t="s">
        <v>61</v>
      </c>
      <c r="C540" s="131">
        <v>0.24</v>
      </c>
      <c r="D540" s="19"/>
      <c r="E540" s="19"/>
      <c r="F540" s="29">
        <f>ROUND(F539*C540,0)</f>
        <v>9495789</v>
      </c>
      <c r="G540" s="81"/>
    </row>
    <row r="541" spans="1:13" x14ac:dyDescent="0.25">
      <c r="A541" s="19"/>
      <c r="B541" s="19" t="s">
        <v>57</v>
      </c>
      <c r="C541" s="131">
        <v>0.05</v>
      </c>
      <c r="D541" s="19"/>
      <c r="E541" s="19"/>
      <c r="F541" s="29">
        <f>ROUND(F539*C541,0)</f>
        <v>1978289</v>
      </c>
      <c r="G541" s="81"/>
    </row>
    <row r="542" spans="1:13" x14ac:dyDescent="0.25">
      <c r="A542" s="19"/>
      <c r="B542" s="19" t="s">
        <v>62</v>
      </c>
      <c r="C542" s="131">
        <v>0.05</v>
      </c>
      <c r="D542" s="19"/>
      <c r="E542" s="19"/>
      <c r="F542" s="29">
        <f>ROUND(F539*C542,0)</f>
        <v>1978289</v>
      </c>
      <c r="G542" s="81"/>
    </row>
    <row r="543" spans="1:13" x14ac:dyDescent="0.25">
      <c r="A543" s="19"/>
      <c r="B543" s="132" t="s">
        <v>63</v>
      </c>
      <c r="C543" s="133">
        <v>0.19</v>
      </c>
      <c r="D543" s="120"/>
      <c r="E543" s="120"/>
      <c r="F543" s="35">
        <f>ROUND(F542*19%,0)</f>
        <v>375875</v>
      </c>
      <c r="G543" s="81"/>
    </row>
    <row r="544" spans="1:13" x14ac:dyDescent="0.25">
      <c r="A544" s="19"/>
      <c r="B544" s="18" t="s">
        <v>56</v>
      </c>
      <c r="C544" s="19"/>
      <c r="D544" s="19"/>
      <c r="E544" s="19"/>
      <c r="F544" s="30">
        <f>SUM(F539:F543)</f>
        <v>53394029</v>
      </c>
      <c r="G544" s="81"/>
      <c r="K544" s="147"/>
      <c r="L544" s="146"/>
      <c r="M544" s="147"/>
    </row>
    <row r="545" spans="1:11" x14ac:dyDescent="0.25">
      <c r="A545" s="81"/>
      <c r="B545" s="81"/>
      <c r="C545" s="81"/>
      <c r="D545" s="81"/>
      <c r="E545" s="81"/>
      <c r="F545" s="81"/>
      <c r="G545" s="81"/>
    </row>
    <row r="546" spans="1:11" x14ac:dyDescent="0.25">
      <c r="A546" s="81"/>
      <c r="B546" s="81"/>
      <c r="C546" s="81"/>
      <c r="D546" s="81"/>
      <c r="E546" s="81"/>
      <c r="F546" s="81"/>
      <c r="G546" s="81"/>
    </row>
    <row r="547" spans="1:11" x14ac:dyDescent="0.25">
      <c r="A547" s="81"/>
      <c r="B547" s="471" t="s">
        <v>818</v>
      </c>
      <c r="C547" s="471"/>
      <c r="D547" s="81"/>
      <c r="E547" s="81"/>
      <c r="F547" s="137">
        <f>F538</f>
        <v>53394030</v>
      </c>
      <c r="G547" s="81"/>
      <c r="K547" s="53"/>
    </row>
    <row r="548" spans="1:11" x14ac:dyDescent="0.25">
      <c r="A548" s="81"/>
      <c r="B548" s="81"/>
      <c r="C548" s="81"/>
      <c r="D548" s="81"/>
      <c r="E548" s="81"/>
      <c r="F548" s="81"/>
      <c r="G548" s="81"/>
    </row>
    <row r="549" spans="1:11" x14ac:dyDescent="0.25">
      <c r="A549" s="81"/>
      <c r="B549" s="81"/>
      <c r="C549" s="81"/>
      <c r="D549" s="81"/>
      <c r="E549" s="81"/>
      <c r="F549" s="81"/>
      <c r="G549" s="81"/>
      <c r="H549" s="53"/>
    </row>
    <row r="550" spans="1:11" ht="15.75" x14ac:dyDescent="0.25">
      <c r="A550" s="81"/>
      <c r="B550" s="313" t="s">
        <v>824</v>
      </c>
      <c r="C550" s="314"/>
      <c r="D550" s="314"/>
      <c r="E550" s="314"/>
      <c r="F550" s="144">
        <f>F547+F498+F353+F301+F58</f>
        <v>806820262</v>
      </c>
      <c r="G550" s="81"/>
      <c r="H550" s="53"/>
    </row>
    <row r="551" spans="1:11" x14ac:dyDescent="0.25">
      <c r="A551" s="81"/>
      <c r="B551" s="81"/>
      <c r="C551" s="81"/>
      <c r="D551" s="81"/>
      <c r="E551" s="81"/>
      <c r="F551" s="81"/>
      <c r="G551" s="81"/>
      <c r="H551" s="53"/>
    </row>
  </sheetData>
  <mergeCells count="75">
    <mergeCell ref="C65:E65"/>
    <mergeCell ref="A103:F103"/>
    <mergeCell ref="A2:F2"/>
    <mergeCell ref="C10:E10"/>
    <mergeCell ref="A62:F62"/>
    <mergeCell ref="A63:A64"/>
    <mergeCell ref="B63:B64"/>
    <mergeCell ref="C63:C64"/>
    <mergeCell ref="D63:F63"/>
    <mergeCell ref="A7:F7"/>
    <mergeCell ref="A8:A9"/>
    <mergeCell ref="B8:B9"/>
    <mergeCell ref="C8:C9"/>
    <mergeCell ref="D8:F8"/>
    <mergeCell ref="A31:F31"/>
    <mergeCell ref="A33:A34"/>
    <mergeCell ref="A104:A105"/>
    <mergeCell ref="B104:B105"/>
    <mergeCell ref="C104:C105"/>
    <mergeCell ref="D104:F104"/>
    <mergeCell ref="C106:E106"/>
    <mergeCell ref="A138:F138"/>
    <mergeCell ref="A139:A140"/>
    <mergeCell ref="B139:B140"/>
    <mergeCell ref="C139:C140"/>
    <mergeCell ref="D139:F139"/>
    <mergeCell ref="C141:E141"/>
    <mergeCell ref="A179:F179"/>
    <mergeCell ref="A180:A181"/>
    <mergeCell ref="B180:B181"/>
    <mergeCell ref="C180:C181"/>
    <mergeCell ref="D180:F180"/>
    <mergeCell ref="C277:E277"/>
    <mergeCell ref="A227:F227"/>
    <mergeCell ref="A228:A229"/>
    <mergeCell ref="B228:B229"/>
    <mergeCell ref="C228:C229"/>
    <mergeCell ref="D228:F228"/>
    <mergeCell ref="A274:F274"/>
    <mergeCell ref="A275:A276"/>
    <mergeCell ref="B275:B276"/>
    <mergeCell ref="C275:C276"/>
    <mergeCell ref="D275:F275"/>
    <mergeCell ref="B362:B363"/>
    <mergeCell ref="C362:C363"/>
    <mergeCell ref="D362:F362"/>
    <mergeCell ref="A304:B304"/>
    <mergeCell ref="A306:F306"/>
    <mergeCell ref="A307:A308"/>
    <mergeCell ref="B307:B308"/>
    <mergeCell ref="D307:F307"/>
    <mergeCell ref="B547:C547"/>
    <mergeCell ref="B498:C498"/>
    <mergeCell ref="B501:C501"/>
    <mergeCell ref="A503:F503"/>
    <mergeCell ref="A504:A505"/>
    <mergeCell ref="B504:B505"/>
    <mergeCell ref="C504:C505"/>
    <mergeCell ref="D504:F504"/>
    <mergeCell ref="B33:B34"/>
    <mergeCell ref="C33:C34"/>
    <mergeCell ref="D33:F33"/>
    <mergeCell ref="A461:F461"/>
    <mergeCell ref="C506:E506"/>
    <mergeCell ref="A462:A463"/>
    <mergeCell ref="C462:C463"/>
    <mergeCell ref="D462:F462"/>
    <mergeCell ref="A411:F411"/>
    <mergeCell ref="A412:A413"/>
    <mergeCell ref="B412:B413"/>
    <mergeCell ref="C412:C413"/>
    <mergeCell ref="D412:F412"/>
    <mergeCell ref="B357:C357"/>
    <mergeCell ref="A360:F360"/>
    <mergeCell ref="A362:A363"/>
  </mergeCells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headerFooter>
    <oddHeader>&amp;C&amp;P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view="pageLayout" zoomScaleNormal="100" workbookViewId="0">
      <selection activeCell="F22" sqref="F22"/>
    </sheetView>
  </sheetViews>
  <sheetFormatPr baseColWidth="10" defaultRowHeight="15" x14ac:dyDescent="0.25"/>
  <cols>
    <col min="2" max="2" width="47.140625" customWidth="1"/>
    <col min="3" max="3" width="15.140625" customWidth="1"/>
    <col min="4" max="4" width="11.5703125" bestFit="1" customWidth="1"/>
    <col min="5" max="5" width="19" customWidth="1"/>
    <col min="6" max="6" width="18.85546875" customWidth="1"/>
    <col min="7" max="7" width="12.5703125" bestFit="1" customWidth="1"/>
    <col min="8" max="8" width="12" bestFit="1" customWidth="1"/>
    <col min="9" max="9" width="20.42578125" customWidth="1"/>
  </cols>
  <sheetData>
    <row r="2" spans="1:9" ht="15.75" x14ac:dyDescent="0.25">
      <c r="B2" s="483" t="s">
        <v>825</v>
      </c>
      <c r="C2" s="483"/>
      <c r="D2" s="483"/>
    </row>
    <row r="4" spans="1:9" x14ac:dyDescent="0.25">
      <c r="A4" s="1"/>
      <c r="B4" s="484" t="s">
        <v>477</v>
      </c>
      <c r="C4" s="484"/>
      <c r="D4" s="484"/>
      <c r="E4" s="484"/>
      <c r="F4" s="484"/>
    </row>
    <row r="5" spans="1:9" x14ac:dyDescent="0.25">
      <c r="A5" s="1"/>
      <c r="B5" s="484"/>
      <c r="C5" s="484"/>
      <c r="D5" s="484"/>
      <c r="E5" s="484"/>
      <c r="F5" s="484"/>
    </row>
    <row r="6" spans="1:9" x14ac:dyDescent="0.25">
      <c r="A6" s="1"/>
      <c r="B6" s="484"/>
      <c r="C6" s="484"/>
      <c r="D6" s="484"/>
      <c r="E6" s="484"/>
      <c r="F6" s="484"/>
    </row>
    <row r="7" spans="1:9" x14ac:dyDescent="0.25">
      <c r="A7" s="1"/>
      <c r="B7" s="484"/>
      <c r="C7" s="484"/>
      <c r="D7" s="484"/>
      <c r="E7" s="484"/>
      <c r="F7" s="484"/>
    </row>
    <row r="8" spans="1:9" ht="57.75" customHeight="1" x14ac:dyDescent="0.25">
      <c r="A8" s="459" t="s">
        <v>10</v>
      </c>
      <c r="B8" s="459" t="s">
        <v>0</v>
      </c>
      <c r="C8" s="459" t="s">
        <v>11</v>
      </c>
      <c r="D8" s="459" t="s">
        <v>12</v>
      </c>
      <c r="E8" s="459"/>
      <c r="F8" s="459"/>
    </row>
    <row r="9" spans="1:9" x14ac:dyDescent="0.25">
      <c r="A9" s="459"/>
      <c r="B9" s="459"/>
      <c r="C9" s="459"/>
      <c r="D9" s="8" t="s">
        <v>13</v>
      </c>
      <c r="E9" s="8" t="s">
        <v>14</v>
      </c>
      <c r="F9" s="8" t="s">
        <v>15</v>
      </c>
    </row>
    <row r="10" spans="1:9" ht="45" x14ac:dyDescent="0.25">
      <c r="A10" s="65">
        <v>1</v>
      </c>
      <c r="B10" s="62" t="s">
        <v>478</v>
      </c>
      <c r="C10" s="60" t="s">
        <v>479</v>
      </c>
      <c r="D10" s="69">
        <v>10</v>
      </c>
      <c r="E10" s="70">
        <v>4319700</v>
      </c>
      <c r="F10" s="26">
        <f t="shared" ref="F10:F39" si="0">ROUND(D10*E10,0)</f>
        <v>43197000</v>
      </c>
      <c r="I10" s="72"/>
    </row>
    <row r="11" spans="1:9" ht="45" x14ac:dyDescent="0.25">
      <c r="A11" s="65">
        <f>A10+1</f>
        <v>2</v>
      </c>
      <c r="B11" s="71" t="s">
        <v>480</v>
      </c>
      <c r="C11" s="60" t="s">
        <v>479</v>
      </c>
      <c r="D11" s="69">
        <v>20</v>
      </c>
      <c r="E11" s="70">
        <v>113050</v>
      </c>
      <c r="F11" s="26">
        <f t="shared" si="0"/>
        <v>2261000</v>
      </c>
      <c r="I11" s="72"/>
    </row>
    <row r="12" spans="1:9" ht="30" x14ac:dyDescent="0.25">
      <c r="A12" s="65">
        <f t="shared" ref="A12:A39" si="1">A11+1</f>
        <v>3</v>
      </c>
      <c r="B12" s="71" t="s">
        <v>481</v>
      </c>
      <c r="C12" s="60" t="s">
        <v>479</v>
      </c>
      <c r="D12" s="69">
        <v>5</v>
      </c>
      <c r="E12" s="70">
        <v>60690</v>
      </c>
      <c r="F12" s="26">
        <f t="shared" si="0"/>
        <v>303450</v>
      </c>
      <c r="I12" s="72"/>
    </row>
    <row r="13" spans="1:9" ht="30" customHeight="1" x14ac:dyDescent="0.25">
      <c r="A13" s="65">
        <f t="shared" si="1"/>
        <v>4</v>
      </c>
      <c r="B13" s="71" t="s">
        <v>482</v>
      </c>
      <c r="C13" s="60" t="s">
        <v>479</v>
      </c>
      <c r="D13" s="69">
        <v>4</v>
      </c>
      <c r="E13" s="70">
        <v>83300</v>
      </c>
      <c r="F13" s="26">
        <f t="shared" si="0"/>
        <v>333200</v>
      </c>
      <c r="I13" s="72"/>
    </row>
    <row r="14" spans="1:9" ht="30" customHeight="1" x14ac:dyDescent="0.25">
      <c r="A14" s="65">
        <f t="shared" si="1"/>
        <v>5</v>
      </c>
      <c r="B14" s="71" t="s">
        <v>483</v>
      </c>
      <c r="C14" s="60" t="s">
        <v>484</v>
      </c>
      <c r="D14" s="69">
        <v>3</v>
      </c>
      <c r="E14" s="70">
        <v>10710</v>
      </c>
      <c r="F14" s="26">
        <f t="shared" si="0"/>
        <v>32130</v>
      </c>
      <c r="I14" s="72"/>
    </row>
    <row r="15" spans="1:9" ht="45" x14ac:dyDescent="0.25">
      <c r="A15" s="65">
        <f t="shared" si="1"/>
        <v>6</v>
      </c>
      <c r="B15" s="71" t="s">
        <v>878</v>
      </c>
      <c r="C15" s="60" t="s">
        <v>485</v>
      </c>
      <c r="D15" s="69">
        <v>1</v>
      </c>
      <c r="E15" s="70">
        <v>28560000</v>
      </c>
      <c r="F15" s="26">
        <f t="shared" si="0"/>
        <v>28560000</v>
      </c>
      <c r="I15" s="72"/>
    </row>
    <row r="16" spans="1:9" ht="45" x14ac:dyDescent="0.25">
      <c r="A16" s="65">
        <f t="shared" si="1"/>
        <v>7</v>
      </c>
      <c r="B16" s="71" t="s">
        <v>486</v>
      </c>
      <c r="C16" s="60" t="s">
        <v>485</v>
      </c>
      <c r="D16" s="69">
        <v>1</v>
      </c>
      <c r="E16" s="70">
        <v>3581887</v>
      </c>
      <c r="F16" s="26">
        <f t="shared" si="0"/>
        <v>3581887</v>
      </c>
      <c r="H16" s="345" t="s">
        <v>1</v>
      </c>
      <c r="I16" s="72"/>
    </row>
    <row r="17" spans="1:9" x14ac:dyDescent="0.25">
      <c r="A17" s="65">
        <f t="shared" si="1"/>
        <v>8</v>
      </c>
      <c r="B17" s="71" t="s">
        <v>487</v>
      </c>
      <c r="C17" s="60" t="s">
        <v>485</v>
      </c>
      <c r="D17" s="69">
        <v>1</v>
      </c>
      <c r="E17" s="70">
        <v>3570000</v>
      </c>
      <c r="F17" s="26">
        <f t="shared" si="0"/>
        <v>3570000</v>
      </c>
      <c r="I17" s="72"/>
    </row>
    <row r="18" spans="1:9" ht="30" x14ac:dyDescent="0.25">
      <c r="A18" s="65">
        <f t="shared" si="1"/>
        <v>9</v>
      </c>
      <c r="B18" s="71" t="s">
        <v>488</v>
      </c>
      <c r="C18" s="60" t="s">
        <v>489</v>
      </c>
      <c r="D18" s="69">
        <v>10</v>
      </c>
      <c r="E18" s="70">
        <v>113050</v>
      </c>
      <c r="F18" s="26">
        <f t="shared" si="0"/>
        <v>1130500</v>
      </c>
      <c r="I18" s="72"/>
    </row>
    <row r="19" spans="1:9" x14ac:dyDescent="0.25">
      <c r="A19" s="65">
        <f t="shared" si="1"/>
        <v>10</v>
      </c>
      <c r="B19" s="71" t="s">
        <v>490</v>
      </c>
      <c r="C19" s="60" t="s">
        <v>489</v>
      </c>
      <c r="D19" s="69">
        <v>10</v>
      </c>
      <c r="E19" s="70">
        <v>232050</v>
      </c>
      <c r="F19" s="26">
        <f t="shared" si="0"/>
        <v>2320500</v>
      </c>
      <c r="I19" s="72"/>
    </row>
    <row r="20" spans="1:9" x14ac:dyDescent="0.25">
      <c r="A20" s="65">
        <f t="shared" si="1"/>
        <v>11</v>
      </c>
      <c r="B20" s="71" t="s">
        <v>491</v>
      </c>
      <c r="C20" s="60" t="s">
        <v>492</v>
      </c>
      <c r="D20" s="69">
        <v>6</v>
      </c>
      <c r="E20" s="70">
        <v>410550</v>
      </c>
      <c r="F20" s="26">
        <f t="shared" si="0"/>
        <v>2463300</v>
      </c>
      <c r="I20" s="72"/>
    </row>
    <row r="21" spans="1:9" x14ac:dyDescent="0.25">
      <c r="A21" s="65">
        <f t="shared" si="1"/>
        <v>12</v>
      </c>
      <c r="B21" s="71" t="s">
        <v>493</v>
      </c>
      <c r="C21" s="60" t="s">
        <v>492</v>
      </c>
      <c r="D21" s="69">
        <v>6</v>
      </c>
      <c r="E21" s="70">
        <v>452200</v>
      </c>
      <c r="F21" s="26">
        <f t="shared" si="0"/>
        <v>2713200</v>
      </c>
      <c r="I21" s="72"/>
    </row>
    <row r="22" spans="1:9" x14ac:dyDescent="0.25">
      <c r="A22" s="65">
        <f t="shared" si="1"/>
        <v>13</v>
      </c>
      <c r="B22" s="71" t="s">
        <v>494</v>
      </c>
      <c r="C22" s="60" t="s">
        <v>479</v>
      </c>
      <c r="D22" s="69">
        <v>60</v>
      </c>
      <c r="E22" s="70">
        <v>17850</v>
      </c>
      <c r="F22" s="26">
        <f t="shared" si="0"/>
        <v>1071000</v>
      </c>
      <c r="I22" s="72"/>
    </row>
    <row r="23" spans="1:9" x14ac:dyDescent="0.25">
      <c r="A23" s="65">
        <f t="shared" si="1"/>
        <v>14</v>
      </c>
      <c r="B23" s="71" t="s">
        <v>495</v>
      </c>
      <c r="C23" s="60" t="s">
        <v>479</v>
      </c>
      <c r="D23" s="69">
        <v>30</v>
      </c>
      <c r="E23" s="70">
        <v>21420</v>
      </c>
      <c r="F23" s="26">
        <f t="shared" si="0"/>
        <v>642600</v>
      </c>
      <c r="I23" s="72"/>
    </row>
    <row r="24" spans="1:9" x14ac:dyDescent="0.25">
      <c r="A24" s="65">
        <f t="shared" si="1"/>
        <v>15</v>
      </c>
      <c r="B24" s="71" t="s">
        <v>496</v>
      </c>
      <c r="C24" s="60" t="s">
        <v>479</v>
      </c>
      <c r="D24" s="69">
        <v>25</v>
      </c>
      <c r="E24" s="70">
        <v>29750</v>
      </c>
      <c r="F24" s="26">
        <f t="shared" si="0"/>
        <v>743750</v>
      </c>
      <c r="I24" s="72"/>
    </row>
    <row r="25" spans="1:9" x14ac:dyDescent="0.25">
      <c r="A25" s="65">
        <f t="shared" si="1"/>
        <v>16</v>
      </c>
      <c r="B25" s="71" t="s">
        <v>497</v>
      </c>
      <c r="C25" s="60" t="s">
        <v>498</v>
      </c>
      <c r="D25" s="69">
        <v>6</v>
      </c>
      <c r="E25" s="70">
        <v>207060</v>
      </c>
      <c r="F25" s="26">
        <f t="shared" si="0"/>
        <v>1242360</v>
      </c>
      <c r="I25" s="72"/>
    </row>
    <row r="26" spans="1:9" x14ac:dyDescent="0.25">
      <c r="A26" s="65">
        <f t="shared" si="1"/>
        <v>17</v>
      </c>
      <c r="B26" s="71" t="s">
        <v>499</v>
      </c>
      <c r="C26" s="60" t="s">
        <v>498</v>
      </c>
      <c r="D26" s="69">
        <v>4</v>
      </c>
      <c r="E26" s="70">
        <v>226100</v>
      </c>
      <c r="F26" s="26">
        <f t="shared" si="0"/>
        <v>904400</v>
      </c>
      <c r="I26" s="72"/>
    </row>
    <row r="27" spans="1:9" x14ac:dyDescent="0.25">
      <c r="A27" s="65">
        <f t="shared" si="1"/>
        <v>18</v>
      </c>
      <c r="B27" s="71" t="s">
        <v>500</v>
      </c>
      <c r="C27" s="60" t="s">
        <v>479</v>
      </c>
      <c r="D27" s="69">
        <v>2</v>
      </c>
      <c r="E27" s="70">
        <v>380800</v>
      </c>
      <c r="F27" s="26">
        <f t="shared" si="0"/>
        <v>761600</v>
      </c>
      <c r="I27" s="72"/>
    </row>
    <row r="28" spans="1:9" x14ac:dyDescent="0.25">
      <c r="A28" s="65">
        <f t="shared" si="1"/>
        <v>19</v>
      </c>
      <c r="B28" s="71" t="s">
        <v>501</v>
      </c>
      <c r="C28" s="60" t="s">
        <v>479</v>
      </c>
      <c r="D28" s="69">
        <v>1</v>
      </c>
      <c r="E28" s="70">
        <v>35700</v>
      </c>
      <c r="F28" s="26">
        <f t="shared" si="0"/>
        <v>35700</v>
      </c>
      <c r="I28" s="72"/>
    </row>
    <row r="29" spans="1:9" x14ac:dyDescent="0.25">
      <c r="A29" s="65">
        <f t="shared" si="1"/>
        <v>20</v>
      </c>
      <c r="B29" s="71" t="s">
        <v>502</v>
      </c>
      <c r="C29" s="60" t="s">
        <v>503</v>
      </c>
      <c r="D29" s="69">
        <v>8</v>
      </c>
      <c r="E29" s="70">
        <v>83300</v>
      </c>
      <c r="F29" s="26">
        <f t="shared" si="0"/>
        <v>666400</v>
      </c>
      <c r="I29" s="72"/>
    </row>
    <row r="30" spans="1:9" x14ac:dyDescent="0.25">
      <c r="A30" s="65">
        <f t="shared" si="1"/>
        <v>21</v>
      </c>
      <c r="B30" s="71" t="s">
        <v>504</v>
      </c>
      <c r="C30" s="60" t="s">
        <v>479</v>
      </c>
      <c r="D30" s="69">
        <v>4</v>
      </c>
      <c r="E30" s="70">
        <v>77350</v>
      </c>
      <c r="F30" s="26">
        <f t="shared" si="0"/>
        <v>309400</v>
      </c>
      <c r="I30" s="72"/>
    </row>
    <row r="31" spans="1:9" x14ac:dyDescent="0.25">
      <c r="A31" s="65">
        <f t="shared" si="1"/>
        <v>22</v>
      </c>
      <c r="B31" s="71" t="s">
        <v>505</v>
      </c>
      <c r="C31" s="60"/>
      <c r="D31" s="69"/>
      <c r="E31" s="70"/>
      <c r="F31" s="26"/>
      <c r="I31" s="72"/>
    </row>
    <row r="32" spans="1:9" x14ac:dyDescent="0.25">
      <c r="A32" s="65">
        <f t="shared" si="1"/>
        <v>23</v>
      </c>
      <c r="B32" s="71" t="s">
        <v>889</v>
      </c>
      <c r="C32" s="60" t="s">
        <v>503</v>
      </c>
      <c r="D32" s="69">
        <v>170</v>
      </c>
      <c r="E32" s="70">
        <v>71400</v>
      </c>
      <c r="F32" s="26">
        <f t="shared" si="0"/>
        <v>12138000</v>
      </c>
      <c r="I32" s="72"/>
    </row>
    <row r="33" spans="1:9" ht="30" x14ac:dyDescent="0.25">
      <c r="A33" s="65">
        <f t="shared" si="1"/>
        <v>24</v>
      </c>
      <c r="B33" s="71" t="s">
        <v>890</v>
      </c>
      <c r="C33" s="60" t="s">
        <v>503</v>
      </c>
      <c r="D33" s="69">
        <v>635</v>
      </c>
      <c r="E33" s="70">
        <v>47600</v>
      </c>
      <c r="F33" s="26">
        <f t="shared" si="0"/>
        <v>30226000</v>
      </c>
      <c r="I33" s="72"/>
    </row>
    <row r="34" spans="1:9" ht="30" x14ac:dyDescent="0.25">
      <c r="A34" s="65">
        <f t="shared" si="1"/>
        <v>25</v>
      </c>
      <c r="B34" s="62" t="s">
        <v>891</v>
      </c>
      <c r="C34" s="60" t="s">
        <v>503</v>
      </c>
      <c r="D34" s="69">
        <v>95</v>
      </c>
      <c r="E34" s="344">
        <v>124950</v>
      </c>
      <c r="F34" s="26">
        <f t="shared" si="0"/>
        <v>11870250</v>
      </c>
      <c r="G34" s="53"/>
      <c r="I34" s="72"/>
    </row>
    <row r="35" spans="1:9" x14ac:dyDescent="0.25">
      <c r="A35" s="65">
        <f t="shared" si="1"/>
        <v>26</v>
      </c>
      <c r="B35" s="71" t="s">
        <v>892</v>
      </c>
      <c r="C35" s="60" t="s">
        <v>503</v>
      </c>
      <c r="D35" s="69">
        <v>120</v>
      </c>
      <c r="E35" s="344">
        <v>95200</v>
      </c>
      <c r="F35" s="26">
        <f t="shared" si="0"/>
        <v>11424000</v>
      </c>
      <c r="I35" s="72"/>
    </row>
    <row r="36" spans="1:9" x14ac:dyDescent="0.25">
      <c r="A36" s="65">
        <f t="shared" si="1"/>
        <v>27</v>
      </c>
      <c r="B36" s="71" t="s">
        <v>893</v>
      </c>
      <c r="C36" s="60" t="s">
        <v>503</v>
      </c>
      <c r="D36" s="69">
        <v>76</v>
      </c>
      <c r="E36" s="344">
        <v>107100</v>
      </c>
      <c r="F36" s="26">
        <f t="shared" si="0"/>
        <v>8139600</v>
      </c>
      <c r="I36" s="72"/>
    </row>
    <row r="37" spans="1:9" x14ac:dyDescent="0.25">
      <c r="A37" s="65">
        <f t="shared" si="1"/>
        <v>28</v>
      </c>
      <c r="B37" s="71" t="s">
        <v>894</v>
      </c>
      <c r="C37" s="60" t="s">
        <v>503</v>
      </c>
      <c r="D37" s="69">
        <v>24</v>
      </c>
      <c r="E37" s="344">
        <v>170170</v>
      </c>
      <c r="F37" s="26">
        <f t="shared" si="0"/>
        <v>4084080</v>
      </c>
      <c r="G37" s="3"/>
      <c r="I37" s="72"/>
    </row>
    <row r="38" spans="1:9" ht="30" x14ac:dyDescent="0.25">
      <c r="A38" s="65">
        <f t="shared" si="1"/>
        <v>29</v>
      </c>
      <c r="B38" s="71" t="s">
        <v>895</v>
      </c>
      <c r="C38" s="60" t="s">
        <v>503</v>
      </c>
      <c r="D38" s="69">
        <v>18</v>
      </c>
      <c r="E38" s="344">
        <v>178699</v>
      </c>
      <c r="F38" s="26">
        <f t="shared" si="0"/>
        <v>3216582</v>
      </c>
      <c r="G38" t="s">
        <v>1</v>
      </c>
      <c r="I38" s="72"/>
    </row>
    <row r="39" spans="1:9" ht="30" x14ac:dyDescent="0.25">
      <c r="A39" s="65">
        <f t="shared" si="1"/>
        <v>30</v>
      </c>
      <c r="B39" s="71" t="s">
        <v>896</v>
      </c>
      <c r="C39" s="60" t="s">
        <v>503</v>
      </c>
      <c r="D39" s="69">
        <v>38</v>
      </c>
      <c r="E39" s="344">
        <v>214200</v>
      </c>
      <c r="F39" s="26">
        <f t="shared" si="0"/>
        <v>8139600</v>
      </c>
      <c r="G39" s="32" t="s">
        <v>1</v>
      </c>
      <c r="I39" s="72"/>
    </row>
    <row r="40" spans="1:9" x14ac:dyDescent="0.25">
      <c r="A40" s="64"/>
      <c r="B40" s="63" t="s">
        <v>56</v>
      </c>
      <c r="C40" s="8"/>
      <c r="D40" s="23"/>
      <c r="E40" s="24"/>
      <c r="F40" s="28">
        <f>ROUND((F31+F30+F29+F28+F27+F26+F25+F24+F23+F22+F21+F20+F19+F18+F17+F16+F15+F14+F13+F12+F11+F10+F39+F38+F37+F36+F35+F34+F33+F32),0)</f>
        <v>186081489</v>
      </c>
    </row>
    <row r="41" spans="1:9" x14ac:dyDescent="0.25">
      <c r="A41" s="5"/>
      <c r="B41" s="5" t="s">
        <v>60</v>
      </c>
      <c r="C41" s="5"/>
      <c r="D41" s="5"/>
      <c r="E41" s="5"/>
      <c r="F41" s="29">
        <f>ROUND(F40/1.3495,0)</f>
        <v>137889210</v>
      </c>
    </row>
    <row r="42" spans="1:9" x14ac:dyDescent="0.25">
      <c r="A42" s="5"/>
      <c r="B42" s="5" t="s">
        <v>61</v>
      </c>
      <c r="C42" s="25">
        <v>0.24</v>
      </c>
      <c r="D42" s="5"/>
      <c r="E42" s="5"/>
      <c r="F42" s="29">
        <f>ROUND(F41*C42,0)</f>
        <v>33093410</v>
      </c>
    </row>
    <row r="43" spans="1:9" x14ac:dyDescent="0.25">
      <c r="A43" s="5"/>
      <c r="B43" s="5" t="s">
        <v>57</v>
      </c>
      <c r="C43" s="25">
        <v>0.05</v>
      </c>
      <c r="D43" s="5"/>
      <c r="E43" s="5"/>
      <c r="F43" s="29">
        <f>ROUND(F41*C43,0)</f>
        <v>6894461</v>
      </c>
    </row>
    <row r="44" spans="1:9" x14ac:dyDescent="0.25">
      <c r="A44" s="5"/>
      <c r="B44" s="5" t="s">
        <v>62</v>
      </c>
      <c r="C44" s="25">
        <v>0.05</v>
      </c>
      <c r="D44" s="5"/>
      <c r="E44" s="5"/>
      <c r="F44" s="29">
        <f>ROUND(F41*C44,0)</f>
        <v>6894461</v>
      </c>
    </row>
    <row r="45" spans="1:9" x14ac:dyDescent="0.25">
      <c r="A45" s="5"/>
      <c r="B45" s="22" t="s">
        <v>63</v>
      </c>
      <c r="C45" s="34">
        <v>0.19</v>
      </c>
      <c r="D45" s="27"/>
      <c r="E45" s="27"/>
      <c r="F45" s="35">
        <f>ROUND(F44*19%,0)</f>
        <v>1309948</v>
      </c>
    </row>
    <row r="46" spans="1:9" x14ac:dyDescent="0.25">
      <c r="A46" s="5"/>
      <c r="B46" s="63" t="s">
        <v>56</v>
      </c>
      <c r="C46" s="5"/>
      <c r="D46" s="5"/>
      <c r="E46" s="5"/>
      <c r="F46" s="30">
        <f>SUM(F41:F45)</f>
        <v>186081490</v>
      </c>
    </row>
    <row r="49" spans="2:8" ht="18" x14ac:dyDescent="0.25">
      <c r="B49" s="66" t="s">
        <v>826</v>
      </c>
      <c r="F49" s="39">
        <f>F46</f>
        <v>186081490</v>
      </c>
      <c r="H49" s="32" t="s">
        <v>1</v>
      </c>
    </row>
  </sheetData>
  <mergeCells count="6">
    <mergeCell ref="A8:A9"/>
    <mergeCell ref="B8:B9"/>
    <mergeCell ref="C8:C9"/>
    <mergeCell ref="D8:F8"/>
    <mergeCell ref="B2:D2"/>
    <mergeCell ref="B4:F7"/>
  </mergeCells>
  <pageMargins left="0.70866141732283472" right="0.70866141732283472" top="0.74803149606299213" bottom="0.74803149606299213" header="0.31496062992125984" footer="0.31496062992125984"/>
  <pageSetup scale="70" orientation="portrait" horizontalDpi="4294967295" verticalDpi="4294967295" r:id="rId1"/>
  <headerFooter>
    <oddHeader>&amp;C&amp;P de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7"/>
  <sheetViews>
    <sheetView view="pageLayout" topLeftCell="A873" zoomScaleNormal="100" workbookViewId="0">
      <selection activeCell="A873" sqref="A873"/>
    </sheetView>
  </sheetViews>
  <sheetFormatPr baseColWidth="10" defaultRowHeight="15" x14ac:dyDescent="0.25"/>
  <cols>
    <col min="1" max="1" width="11.85546875" bestFit="1" customWidth="1"/>
    <col min="2" max="2" width="40.140625" customWidth="1"/>
    <col min="4" max="4" width="11.85546875" bestFit="1" customWidth="1"/>
    <col min="5" max="5" width="15.28515625" bestFit="1" customWidth="1"/>
    <col min="6" max="6" width="17" bestFit="1" customWidth="1"/>
    <col min="7" max="7" width="14.140625" bestFit="1" customWidth="1"/>
    <col min="8" max="8" width="12.5703125" bestFit="1" customWidth="1"/>
    <col min="10" max="10" width="12.5703125" bestFit="1" customWidth="1"/>
  </cols>
  <sheetData>
    <row r="1" spans="1:8" x14ac:dyDescent="0.25">
      <c r="A1" s="81"/>
      <c r="B1" s="81"/>
      <c r="C1" s="81"/>
      <c r="D1" s="81"/>
      <c r="E1" s="81"/>
      <c r="F1" s="81"/>
    </row>
    <row r="2" spans="1:8" ht="15.75" x14ac:dyDescent="0.25">
      <c r="A2" s="315"/>
      <c r="B2" s="482" t="s">
        <v>433</v>
      </c>
      <c r="C2" s="482"/>
      <c r="D2" s="482"/>
      <c r="E2" s="482"/>
      <c r="F2" s="482"/>
      <c r="G2" s="124"/>
    </row>
    <row r="3" spans="1:8" x14ac:dyDescent="0.25">
      <c r="A3" s="81"/>
      <c r="B3" s="81"/>
      <c r="C3" s="81"/>
      <c r="D3" s="81"/>
      <c r="E3" s="81"/>
      <c r="F3" s="81"/>
    </row>
    <row r="4" spans="1:8" ht="64.5" customHeight="1" x14ac:dyDescent="0.25">
      <c r="A4" s="488" t="s">
        <v>1025</v>
      </c>
      <c r="B4" s="488"/>
      <c r="C4" s="488"/>
      <c r="D4" s="488"/>
      <c r="E4" s="488"/>
      <c r="F4" s="488"/>
    </row>
    <row r="5" spans="1:8" x14ac:dyDescent="0.25">
      <c r="A5" s="185" t="s">
        <v>421</v>
      </c>
      <c r="B5" s="185" t="s">
        <v>422</v>
      </c>
      <c r="C5" s="185" t="s">
        <v>423</v>
      </c>
      <c r="D5" s="185" t="s">
        <v>13</v>
      </c>
      <c r="E5" s="185" t="s">
        <v>424</v>
      </c>
      <c r="F5" s="185" t="s">
        <v>425</v>
      </c>
    </row>
    <row r="6" spans="1:8" x14ac:dyDescent="0.25">
      <c r="A6" s="286">
        <v>1</v>
      </c>
      <c r="B6" s="11" t="s">
        <v>16</v>
      </c>
      <c r="C6" s="286"/>
      <c r="D6" s="177"/>
      <c r="E6" s="178"/>
      <c r="F6" s="178"/>
    </row>
    <row r="7" spans="1:8" x14ac:dyDescent="0.25">
      <c r="A7" s="286">
        <f>A6+1</f>
        <v>2</v>
      </c>
      <c r="B7" s="13" t="s">
        <v>434</v>
      </c>
      <c r="C7" s="222" t="s">
        <v>18</v>
      </c>
      <c r="D7" s="186">
        <v>186.25</v>
      </c>
      <c r="E7" s="187">
        <v>7564</v>
      </c>
      <c r="F7" s="187">
        <f t="shared" ref="F7:F10" si="0">ROUND(D7*E7,0)</f>
        <v>1408795</v>
      </c>
      <c r="H7" s="53"/>
    </row>
    <row r="8" spans="1:8" x14ac:dyDescent="0.25">
      <c r="A8" s="286">
        <f t="shared" ref="A8:A24" si="1">A7+1</f>
        <v>3</v>
      </c>
      <c r="B8" s="132" t="s">
        <v>435</v>
      </c>
      <c r="C8" s="222" t="s">
        <v>403</v>
      </c>
      <c r="D8" s="186">
        <v>1</v>
      </c>
      <c r="E8" s="187">
        <v>385167</v>
      </c>
      <c r="F8" s="187">
        <f t="shared" si="0"/>
        <v>385167</v>
      </c>
      <c r="H8" s="53"/>
    </row>
    <row r="9" spans="1:8" ht="42.75" x14ac:dyDescent="0.25">
      <c r="A9" s="286">
        <f t="shared" si="1"/>
        <v>4</v>
      </c>
      <c r="B9" s="132" t="s">
        <v>436</v>
      </c>
      <c r="C9" s="222" t="s">
        <v>341</v>
      </c>
      <c r="D9" s="186">
        <v>186.25</v>
      </c>
      <c r="E9" s="187">
        <v>12416</v>
      </c>
      <c r="F9" s="187">
        <f t="shared" si="0"/>
        <v>2312480</v>
      </c>
      <c r="H9" s="53"/>
    </row>
    <row r="10" spans="1:8" ht="28.5" x14ac:dyDescent="0.25">
      <c r="A10" s="286">
        <f t="shared" si="1"/>
        <v>5</v>
      </c>
      <c r="B10" s="9" t="s">
        <v>437</v>
      </c>
      <c r="C10" s="222" t="s">
        <v>18</v>
      </c>
      <c r="D10" s="186">
        <v>186.25</v>
      </c>
      <c r="E10" s="187">
        <v>8671</v>
      </c>
      <c r="F10" s="187">
        <f t="shared" si="0"/>
        <v>1614974</v>
      </c>
      <c r="H10" s="53"/>
    </row>
    <row r="11" spans="1:8" x14ac:dyDescent="0.25">
      <c r="A11" s="286">
        <f t="shared" si="1"/>
        <v>6</v>
      </c>
      <c r="B11" s="11" t="s">
        <v>347</v>
      </c>
      <c r="C11" s="286"/>
      <c r="D11" s="177"/>
      <c r="E11" s="178" t="s">
        <v>1</v>
      </c>
      <c r="F11" s="178"/>
      <c r="H11" s="53"/>
    </row>
    <row r="12" spans="1:8" ht="28.5" x14ac:dyDescent="0.25">
      <c r="A12" s="286">
        <f t="shared" si="1"/>
        <v>7</v>
      </c>
      <c r="B12" s="9" t="s">
        <v>438</v>
      </c>
      <c r="C12" s="286" t="s">
        <v>115</v>
      </c>
      <c r="D12" s="177">
        <v>5</v>
      </c>
      <c r="E12" s="178">
        <v>135923</v>
      </c>
      <c r="F12" s="178">
        <f t="shared" ref="F12" si="2">ROUND(D12*E12,0)</f>
        <v>679615</v>
      </c>
      <c r="H12" s="53"/>
    </row>
    <row r="13" spans="1:8" x14ac:dyDescent="0.25">
      <c r="A13" s="286">
        <f t="shared" si="1"/>
        <v>8</v>
      </c>
      <c r="B13" s="19" t="s">
        <v>356</v>
      </c>
      <c r="C13" s="286"/>
      <c r="D13" s="177"/>
      <c r="E13" s="178" t="s">
        <v>1</v>
      </c>
      <c r="F13" s="178"/>
      <c r="H13" s="53"/>
    </row>
    <row r="14" spans="1:8" x14ac:dyDescent="0.25">
      <c r="A14" s="286">
        <f t="shared" si="1"/>
        <v>9</v>
      </c>
      <c r="B14" s="13" t="s">
        <v>439</v>
      </c>
      <c r="C14" s="286" t="s">
        <v>115</v>
      </c>
      <c r="D14" s="177">
        <v>37.25</v>
      </c>
      <c r="E14" s="178">
        <v>30194</v>
      </c>
      <c r="F14" s="178">
        <f t="shared" ref="F14" si="3">ROUND(D14*E14,0)</f>
        <v>1124727</v>
      </c>
      <c r="H14" s="53"/>
    </row>
    <row r="15" spans="1:8" x14ac:dyDescent="0.25">
      <c r="A15" s="286">
        <f t="shared" si="1"/>
        <v>10</v>
      </c>
      <c r="B15" s="195" t="s">
        <v>353</v>
      </c>
      <c r="C15" s="286"/>
      <c r="D15" s="177"/>
      <c r="E15" s="178" t="s">
        <v>1</v>
      </c>
      <c r="F15" s="178"/>
      <c r="H15" s="53"/>
    </row>
    <row r="16" spans="1:8" ht="14.25" customHeight="1" x14ac:dyDescent="0.25">
      <c r="A16" s="286">
        <f t="shared" si="1"/>
        <v>11</v>
      </c>
      <c r="B16" s="13" t="s">
        <v>355</v>
      </c>
      <c r="C16" s="286" t="s">
        <v>115</v>
      </c>
      <c r="D16" s="177">
        <v>42.25</v>
      </c>
      <c r="E16" s="178">
        <v>36045</v>
      </c>
      <c r="F16" s="178">
        <f t="shared" ref="F16" si="4">ROUND(D16*E16,0)</f>
        <v>1522901</v>
      </c>
      <c r="H16" s="53"/>
    </row>
    <row r="17" spans="1:8" x14ac:dyDescent="0.25">
      <c r="A17" s="286">
        <f t="shared" si="1"/>
        <v>12</v>
      </c>
      <c r="B17" s="195" t="s">
        <v>440</v>
      </c>
      <c r="C17" s="286"/>
      <c r="D17" s="177"/>
      <c r="E17" s="178" t="s">
        <v>1</v>
      </c>
      <c r="F17" s="178"/>
      <c r="H17" s="53"/>
    </row>
    <row r="18" spans="1:8" ht="157.5" x14ac:dyDescent="0.25">
      <c r="A18" s="286">
        <f t="shared" si="1"/>
        <v>13</v>
      </c>
      <c r="B18" s="13" t="s">
        <v>441</v>
      </c>
      <c r="C18" s="222" t="s">
        <v>18</v>
      </c>
      <c r="D18" s="186">
        <v>183.25</v>
      </c>
      <c r="E18" s="187">
        <v>334981</v>
      </c>
      <c r="F18" s="187">
        <f t="shared" ref="F18:F21" si="5">ROUND(D18*E18,0)</f>
        <v>61385268</v>
      </c>
      <c r="H18" s="53"/>
    </row>
    <row r="19" spans="1:8" ht="100.5" x14ac:dyDescent="0.25">
      <c r="A19" s="286">
        <f t="shared" si="1"/>
        <v>14</v>
      </c>
      <c r="B19" s="13" t="s">
        <v>442</v>
      </c>
      <c r="C19" s="222" t="s">
        <v>18</v>
      </c>
      <c r="D19" s="186">
        <v>186.25</v>
      </c>
      <c r="E19" s="187">
        <v>28213</v>
      </c>
      <c r="F19" s="187">
        <f t="shared" si="5"/>
        <v>5254671</v>
      </c>
      <c r="H19" s="53"/>
    </row>
    <row r="20" spans="1:8" ht="156.75" x14ac:dyDescent="0.25">
      <c r="A20" s="286">
        <f t="shared" si="1"/>
        <v>15</v>
      </c>
      <c r="B20" s="132" t="s">
        <v>443</v>
      </c>
      <c r="C20" s="222" t="s">
        <v>20</v>
      </c>
      <c r="D20" s="186">
        <v>7.05</v>
      </c>
      <c r="E20" s="187">
        <v>485414</v>
      </c>
      <c r="F20" s="187">
        <f t="shared" si="5"/>
        <v>3422169</v>
      </c>
      <c r="H20" s="53"/>
    </row>
    <row r="21" spans="1:8" ht="71.25" x14ac:dyDescent="0.25">
      <c r="A21" s="286">
        <f t="shared" si="1"/>
        <v>16</v>
      </c>
      <c r="B21" s="132" t="s">
        <v>444</v>
      </c>
      <c r="C21" s="222" t="s">
        <v>20</v>
      </c>
      <c r="D21" s="186">
        <v>370.25</v>
      </c>
      <c r="E21" s="187">
        <v>20585</v>
      </c>
      <c r="F21" s="187">
        <f t="shared" si="5"/>
        <v>7621596</v>
      </c>
      <c r="H21" s="53"/>
    </row>
    <row r="22" spans="1:8" x14ac:dyDescent="0.25">
      <c r="A22" s="286">
        <f t="shared" si="1"/>
        <v>17</v>
      </c>
      <c r="B22" s="13" t="s">
        <v>445</v>
      </c>
      <c r="C22" s="222"/>
      <c r="D22" s="186"/>
      <c r="E22" s="187" t="s">
        <v>1</v>
      </c>
      <c r="F22" s="187"/>
      <c r="H22" s="53"/>
    </row>
    <row r="23" spans="1:8" ht="72" x14ac:dyDescent="0.25">
      <c r="A23" s="286">
        <f t="shared" si="1"/>
        <v>18</v>
      </c>
      <c r="B23" s="17" t="s">
        <v>446</v>
      </c>
      <c r="C23" s="222" t="s">
        <v>115</v>
      </c>
      <c r="D23" s="186">
        <v>14.9</v>
      </c>
      <c r="E23" s="187">
        <v>754648</v>
      </c>
      <c r="F23" s="187">
        <f t="shared" ref="F23:F24" si="6">ROUND(D23*E23,0)</f>
        <v>11244255</v>
      </c>
      <c r="H23" s="53"/>
    </row>
    <row r="24" spans="1:8" ht="29.25" x14ac:dyDescent="0.25">
      <c r="A24" s="286">
        <f t="shared" si="1"/>
        <v>19</v>
      </c>
      <c r="B24" s="17" t="s">
        <v>447</v>
      </c>
      <c r="C24" s="222" t="s">
        <v>115</v>
      </c>
      <c r="D24" s="186">
        <v>18.600000000000001</v>
      </c>
      <c r="E24" s="187">
        <v>95906</v>
      </c>
      <c r="F24" s="187">
        <f t="shared" si="6"/>
        <v>1783852</v>
      </c>
      <c r="H24" s="53"/>
    </row>
    <row r="25" spans="1:8" x14ac:dyDescent="0.25">
      <c r="A25" s="219"/>
      <c r="B25" s="18" t="s">
        <v>56</v>
      </c>
      <c r="C25" s="54"/>
      <c r="D25" s="130"/>
      <c r="E25" s="28"/>
      <c r="F25" s="28">
        <f>SUM(F7:F24)</f>
        <v>99760470</v>
      </c>
    </row>
    <row r="26" spans="1:8" x14ac:dyDescent="0.25">
      <c r="A26" s="19"/>
      <c r="B26" s="19" t="s">
        <v>60</v>
      </c>
      <c r="C26" s="19"/>
      <c r="D26" s="19"/>
      <c r="E26" s="19"/>
      <c r="F26" s="29">
        <f>ROUND(F25/1.3495,0)</f>
        <v>73924024</v>
      </c>
    </row>
    <row r="27" spans="1:8" x14ac:dyDescent="0.25">
      <c r="A27" s="19"/>
      <c r="B27" s="19" t="s">
        <v>61</v>
      </c>
      <c r="C27" s="131">
        <v>0.24</v>
      </c>
      <c r="D27" s="19"/>
      <c r="E27" s="19"/>
      <c r="F27" s="29">
        <f>ROUND(F26*C27,0)</f>
        <v>17741766</v>
      </c>
    </row>
    <row r="28" spans="1:8" x14ac:dyDescent="0.25">
      <c r="A28" s="19"/>
      <c r="B28" s="19" t="s">
        <v>57</v>
      </c>
      <c r="C28" s="131">
        <v>0.05</v>
      </c>
      <c r="D28" s="19"/>
      <c r="E28" s="19"/>
      <c r="F28" s="29">
        <f>ROUND(F26*C28,0)</f>
        <v>3696201</v>
      </c>
    </row>
    <row r="29" spans="1:8" x14ac:dyDescent="0.25">
      <c r="A29" s="19"/>
      <c r="B29" s="19" t="s">
        <v>62</v>
      </c>
      <c r="C29" s="131">
        <v>0.05</v>
      </c>
      <c r="D29" s="19"/>
      <c r="E29" s="19"/>
      <c r="F29" s="29">
        <f>ROUND(F26*C29,0)</f>
        <v>3696201</v>
      </c>
    </row>
    <row r="30" spans="1:8" x14ac:dyDescent="0.25">
      <c r="A30" s="19"/>
      <c r="B30" s="132" t="s">
        <v>63</v>
      </c>
      <c r="C30" s="133">
        <v>0.19</v>
      </c>
      <c r="D30" s="120"/>
      <c r="E30" s="120"/>
      <c r="F30" s="35">
        <f>ROUND(F29*19%,0)</f>
        <v>702278</v>
      </c>
    </row>
    <row r="31" spans="1:8" x14ac:dyDescent="0.25">
      <c r="A31" s="19"/>
      <c r="B31" s="18" t="s">
        <v>56</v>
      </c>
      <c r="C31" s="19"/>
      <c r="D31" s="19"/>
      <c r="E31" s="19"/>
      <c r="F31" s="30">
        <f>SUM(F26:F30)</f>
        <v>99760470</v>
      </c>
    </row>
    <row r="32" spans="1:8" x14ac:dyDescent="0.25">
      <c r="A32" s="33"/>
      <c r="B32" s="33"/>
      <c r="C32" s="316"/>
      <c r="D32" s="316"/>
      <c r="E32" s="82"/>
      <c r="F32" s="82"/>
      <c r="G32" s="67"/>
    </row>
    <row r="33" spans="1:9" ht="71.25" customHeight="1" thickBot="1" x14ac:dyDescent="0.3">
      <c r="A33" s="485" t="s">
        <v>991</v>
      </c>
      <c r="B33" s="486"/>
      <c r="C33" s="486"/>
      <c r="D33" s="486"/>
      <c r="E33" s="486"/>
      <c r="F33" s="487"/>
      <c r="G33" s="67"/>
    </row>
    <row r="34" spans="1:9" x14ac:dyDescent="0.25">
      <c r="A34" s="219" t="s">
        <v>421</v>
      </c>
      <c r="B34" s="219" t="s">
        <v>422</v>
      </c>
      <c r="C34" s="219" t="s">
        <v>423</v>
      </c>
      <c r="D34" s="219" t="s">
        <v>13</v>
      </c>
      <c r="E34" s="219" t="s">
        <v>424</v>
      </c>
      <c r="F34" s="219" t="s">
        <v>425</v>
      </c>
      <c r="G34" s="67"/>
    </row>
    <row r="35" spans="1:9" x14ac:dyDescent="0.25">
      <c r="A35" s="222"/>
      <c r="B35" s="20"/>
      <c r="C35" s="222"/>
      <c r="D35" s="186"/>
      <c r="E35" s="187"/>
      <c r="F35" s="187"/>
      <c r="G35" s="67"/>
    </row>
    <row r="36" spans="1:9" ht="45" x14ac:dyDescent="0.25">
      <c r="A36" s="219">
        <v>1</v>
      </c>
      <c r="B36" s="267" t="s">
        <v>449</v>
      </c>
      <c r="C36" s="222"/>
      <c r="D36" s="186"/>
      <c r="E36" s="187"/>
      <c r="F36" s="187"/>
      <c r="G36" s="67"/>
    </row>
    <row r="37" spans="1:9" ht="128.25" x14ac:dyDescent="0.25">
      <c r="A37" s="222">
        <f>A36+1</f>
        <v>2</v>
      </c>
      <c r="B37" s="9" t="s">
        <v>450</v>
      </c>
      <c r="C37" s="222" t="s">
        <v>188</v>
      </c>
      <c r="D37" s="186">
        <v>216.67</v>
      </c>
      <c r="E37" s="187">
        <v>3474</v>
      </c>
      <c r="F37" s="187">
        <f t="shared" ref="F37:F44" si="7">ROUND(D37*E37,0)</f>
        <v>752712</v>
      </c>
      <c r="H37" s="53"/>
    </row>
    <row r="38" spans="1:9" ht="71.25" x14ac:dyDescent="0.25">
      <c r="A38" s="222">
        <f t="shared" ref="A38:A44" si="8">A37+1</f>
        <v>3</v>
      </c>
      <c r="B38" s="9" t="s">
        <v>451</v>
      </c>
      <c r="C38" s="222" t="s">
        <v>20</v>
      </c>
      <c r="D38" s="186">
        <f>216.67</f>
        <v>216.67</v>
      </c>
      <c r="E38" s="187">
        <v>6338</v>
      </c>
      <c r="F38" s="187">
        <f t="shared" si="7"/>
        <v>1373254</v>
      </c>
      <c r="H38" s="53"/>
    </row>
    <row r="39" spans="1:9" ht="99.75" x14ac:dyDescent="0.25">
      <c r="A39" s="222">
        <f t="shared" si="8"/>
        <v>4</v>
      </c>
      <c r="B39" s="9" t="s">
        <v>452</v>
      </c>
      <c r="C39" s="222" t="s">
        <v>20</v>
      </c>
      <c r="D39" s="186">
        <v>216.67</v>
      </c>
      <c r="E39" s="187">
        <v>73576</v>
      </c>
      <c r="F39" s="187">
        <f t="shared" si="7"/>
        <v>15941712</v>
      </c>
      <c r="H39" s="53"/>
    </row>
    <row r="40" spans="1:9" ht="28.5" x14ac:dyDescent="0.25">
      <c r="A40" s="222">
        <f t="shared" si="8"/>
        <v>5</v>
      </c>
      <c r="B40" s="9" t="s">
        <v>453</v>
      </c>
      <c r="C40" s="222" t="s">
        <v>115</v>
      </c>
      <c r="D40" s="186">
        <v>38.67</v>
      </c>
      <c r="E40" s="187">
        <v>36641</v>
      </c>
      <c r="F40" s="187">
        <f t="shared" si="7"/>
        <v>1416907</v>
      </c>
      <c r="H40" s="53"/>
    </row>
    <row r="41" spans="1:9" ht="71.25" x14ac:dyDescent="0.25">
      <c r="A41" s="222">
        <f t="shared" si="8"/>
        <v>6</v>
      </c>
      <c r="B41" s="9" t="s">
        <v>454</v>
      </c>
      <c r="C41" s="222" t="s">
        <v>20</v>
      </c>
      <c r="D41" s="186">
        <v>203.55</v>
      </c>
      <c r="E41" s="187">
        <v>13121</v>
      </c>
      <c r="F41" s="187">
        <f t="shared" si="7"/>
        <v>2670780</v>
      </c>
      <c r="H41" s="53"/>
    </row>
    <row r="42" spans="1:9" ht="85.5" x14ac:dyDescent="0.25">
      <c r="A42" s="222">
        <f t="shared" si="8"/>
        <v>7</v>
      </c>
      <c r="B42" s="9" t="s">
        <v>455</v>
      </c>
      <c r="C42" s="222" t="s">
        <v>20</v>
      </c>
      <c r="D42" s="186">
        <v>203.55</v>
      </c>
      <c r="E42" s="187">
        <v>86007</v>
      </c>
      <c r="F42" s="187">
        <f t="shared" si="7"/>
        <v>17506725</v>
      </c>
      <c r="H42" s="53"/>
      <c r="I42" s="53"/>
    </row>
    <row r="43" spans="1:9" ht="42.75" x14ac:dyDescent="0.25">
      <c r="A43" s="222">
        <f t="shared" si="8"/>
        <v>8</v>
      </c>
      <c r="B43" s="9" t="s">
        <v>456</v>
      </c>
      <c r="C43" s="222" t="s">
        <v>125</v>
      </c>
      <c r="D43" s="186">
        <v>24</v>
      </c>
      <c r="E43" s="187">
        <v>69137</v>
      </c>
      <c r="F43" s="187">
        <f t="shared" si="7"/>
        <v>1659288</v>
      </c>
      <c r="H43" s="53"/>
    </row>
    <row r="44" spans="1:9" ht="57" x14ac:dyDescent="0.25">
      <c r="A44" s="222">
        <f t="shared" si="8"/>
        <v>9</v>
      </c>
      <c r="B44" s="9" t="s">
        <v>457</v>
      </c>
      <c r="C44" s="222" t="s">
        <v>23</v>
      </c>
      <c r="D44" s="186">
        <v>12</v>
      </c>
      <c r="E44" s="187">
        <v>66833</v>
      </c>
      <c r="F44" s="187">
        <f t="shared" si="7"/>
        <v>801996</v>
      </c>
      <c r="H44" s="53"/>
    </row>
    <row r="45" spans="1:9" x14ac:dyDescent="0.25">
      <c r="A45" s="219"/>
      <c r="B45" s="18" t="s">
        <v>56</v>
      </c>
      <c r="C45" s="54"/>
      <c r="D45" s="130"/>
      <c r="E45" s="28"/>
      <c r="F45" s="28">
        <f>SUM(F37:F44)</f>
        <v>42123374</v>
      </c>
    </row>
    <row r="46" spans="1:9" x14ac:dyDescent="0.25">
      <c r="A46" s="19"/>
      <c r="B46" s="19" t="s">
        <v>60</v>
      </c>
      <c r="C46" s="19"/>
      <c r="D46" s="19"/>
      <c r="E46" s="19"/>
      <c r="F46" s="29">
        <f>ROUND(F45/1.3495,0)</f>
        <v>31214060</v>
      </c>
    </row>
    <row r="47" spans="1:9" x14ac:dyDescent="0.25">
      <c r="A47" s="19"/>
      <c r="B47" s="19" t="s">
        <v>61</v>
      </c>
      <c r="C47" s="131">
        <v>0.24</v>
      </c>
      <c r="D47" s="19"/>
      <c r="E47" s="19"/>
      <c r="F47" s="29">
        <f>ROUND(F46*C47,0)</f>
        <v>7491374</v>
      </c>
    </row>
    <row r="48" spans="1:9" x14ac:dyDescent="0.25">
      <c r="A48" s="19"/>
      <c r="B48" s="19" t="s">
        <v>57</v>
      </c>
      <c r="C48" s="131">
        <v>0.05</v>
      </c>
      <c r="D48" s="19"/>
      <c r="E48" s="19"/>
      <c r="F48" s="29">
        <f>ROUND(F46*C48,0)</f>
        <v>1560703</v>
      </c>
    </row>
    <row r="49" spans="1:8" x14ac:dyDescent="0.25">
      <c r="A49" s="19"/>
      <c r="B49" s="19" t="s">
        <v>62</v>
      </c>
      <c r="C49" s="131">
        <v>0.05</v>
      </c>
      <c r="D49" s="19"/>
      <c r="E49" s="19"/>
      <c r="F49" s="29">
        <f>ROUND(F46*C49,0)</f>
        <v>1560703</v>
      </c>
    </row>
    <row r="50" spans="1:8" x14ac:dyDescent="0.25">
      <c r="A50" s="19"/>
      <c r="B50" s="132" t="s">
        <v>63</v>
      </c>
      <c r="C50" s="133">
        <v>0.19</v>
      </c>
      <c r="D50" s="120"/>
      <c r="E50" s="120"/>
      <c r="F50" s="35">
        <f>ROUND(F49*19%,0)</f>
        <v>296534</v>
      </c>
    </row>
    <row r="51" spans="1:8" x14ac:dyDescent="0.25">
      <c r="A51" s="19"/>
      <c r="B51" s="18" t="s">
        <v>56</v>
      </c>
      <c r="C51" s="19"/>
      <c r="D51" s="19"/>
      <c r="E51" s="19"/>
      <c r="F51" s="30">
        <f>SUM(F46:F50)</f>
        <v>42123374</v>
      </c>
    </row>
    <row r="52" spans="1:8" x14ac:dyDescent="0.25">
      <c r="A52" s="317"/>
      <c r="B52" s="317"/>
      <c r="C52" s="318"/>
      <c r="D52" s="318"/>
      <c r="E52" s="319"/>
      <c r="F52" s="319"/>
    </row>
    <row r="53" spans="1:8" ht="48.75" customHeight="1" x14ac:dyDescent="0.25">
      <c r="A53" s="422" t="s">
        <v>992</v>
      </c>
      <c r="B53" s="489"/>
      <c r="C53" s="489"/>
      <c r="D53" s="489"/>
      <c r="E53" s="489"/>
      <c r="F53" s="489"/>
    </row>
    <row r="54" spans="1:8" x14ac:dyDescent="0.25">
      <c r="A54" s="54" t="s">
        <v>421</v>
      </c>
      <c r="B54" s="54" t="s">
        <v>422</v>
      </c>
      <c r="C54" s="54" t="s">
        <v>423</v>
      </c>
      <c r="D54" s="54" t="s">
        <v>13</v>
      </c>
      <c r="E54" s="54" t="s">
        <v>424</v>
      </c>
      <c r="F54" s="54" t="s">
        <v>425</v>
      </c>
    </row>
    <row r="55" spans="1:8" x14ac:dyDescent="0.25">
      <c r="A55" s="222">
        <v>1</v>
      </c>
      <c r="B55" s="11" t="s">
        <v>16</v>
      </c>
      <c r="C55" s="286"/>
      <c r="D55" s="177"/>
      <c r="E55" s="178"/>
      <c r="F55" s="178"/>
    </row>
    <row r="56" spans="1:8" ht="42.75" x14ac:dyDescent="0.25">
      <c r="A56" s="222">
        <f>A55+1</f>
        <v>2</v>
      </c>
      <c r="B56" s="132" t="s">
        <v>458</v>
      </c>
      <c r="C56" s="222" t="s">
        <v>341</v>
      </c>
      <c r="D56" s="186">
        <v>271.5</v>
      </c>
      <c r="E56" s="187">
        <v>7004</v>
      </c>
      <c r="F56" s="187">
        <f t="shared" ref="F56:F84" si="9">ROUND(D56*E56,0)</f>
        <v>1901586</v>
      </c>
      <c r="H56" s="53"/>
    </row>
    <row r="57" spans="1:8" ht="43.5" x14ac:dyDescent="0.25">
      <c r="A57" s="222">
        <f t="shared" ref="A57:A83" si="10">A56+1</f>
        <v>3</v>
      </c>
      <c r="B57" s="13" t="s">
        <v>459</v>
      </c>
      <c r="C57" s="222" t="s">
        <v>341</v>
      </c>
      <c r="D57" s="186">
        <v>335</v>
      </c>
      <c r="E57" s="187">
        <v>11498</v>
      </c>
      <c r="F57" s="187">
        <f t="shared" si="9"/>
        <v>3851830</v>
      </c>
      <c r="H57" s="53"/>
    </row>
    <row r="58" spans="1:8" ht="29.25" x14ac:dyDescent="0.25">
      <c r="A58" s="222">
        <f t="shared" si="10"/>
        <v>4</v>
      </c>
      <c r="B58" s="17" t="s">
        <v>460</v>
      </c>
      <c r="C58" s="222" t="s">
        <v>125</v>
      </c>
      <c r="D58" s="186">
        <v>2</v>
      </c>
      <c r="E58" s="187">
        <v>225619</v>
      </c>
      <c r="F58" s="187">
        <f t="shared" si="9"/>
        <v>451238</v>
      </c>
      <c r="H58" s="53"/>
    </row>
    <row r="59" spans="1:8" x14ac:dyDescent="0.25">
      <c r="A59" s="222">
        <f t="shared" si="10"/>
        <v>5</v>
      </c>
      <c r="B59" s="11" t="s">
        <v>347</v>
      </c>
      <c r="C59" s="222"/>
      <c r="D59" s="177"/>
      <c r="E59" s="187"/>
      <c r="F59" s="187"/>
      <c r="H59" s="53"/>
    </row>
    <row r="60" spans="1:8" x14ac:dyDescent="0.25">
      <c r="A60" s="222">
        <f t="shared" si="10"/>
        <v>6</v>
      </c>
      <c r="B60" s="19" t="s">
        <v>349</v>
      </c>
      <c r="C60" s="222" t="s">
        <v>115</v>
      </c>
      <c r="D60" s="186">
        <v>2.7</v>
      </c>
      <c r="E60" s="187">
        <v>130984</v>
      </c>
      <c r="F60" s="187">
        <f t="shared" si="9"/>
        <v>353657</v>
      </c>
      <c r="H60" s="53"/>
    </row>
    <row r="61" spans="1:8" ht="29.25" x14ac:dyDescent="0.25">
      <c r="A61" s="222">
        <f t="shared" si="10"/>
        <v>7</v>
      </c>
      <c r="B61" s="13" t="s">
        <v>462</v>
      </c>
      <c r="C61" s="222" t="s">
        <v>115</v>
      </c>
      <c r="D61" s="186">
        <v>1</v>
      </c>
      <c r="E61" s="187">
        <v>106097</v>
      </c>
      <c r="F61" s="187">
        <f t="shared" si="9"/>
        <v>106097</v>
      </c>
      <c r="H61" s="53"/>
    </row>
    <row r="62" spans="1:8" ht="29.25" x14ac:dyDescent="0.25">
      <c r="A62" s="222">
        <f t="shared" si="10"/>
        <v>8</v>
      </c>
      <c r="B62" s="13" t="s">
        <v>463</v>
      </c>
      <c r="C62" s="222" t="s">
        <v>115</v>
      </c>
      <c r="D62" s="186">
        <v>22.33</v>
      </c>
      <c r="E62" s="187">
        <v>99682</v>
      </c>
      <c r="F62" s="187">
        <f t="shared" si="9"/>
        <v>2225899</v>
      </c>
      <c r="H62" s="53"/>
    </row>
    <row r="63" spans="1:8" ht="29.25" x14ac:dyDescent="0.25">
      <c r="A63" s="222">
        <f t="shared" si="10"/>
        <v>9</v>
      </c>
      <c r="B63" s="13" t="s">
        <v>464</v>
      </c>
      <c r="C63" s="222" t="s">
        <v>115</v>
      </c>
      <c r="D63" s="186">
        <v>3.32</v>
      </c>
      <c r="E63" s="187">
        <v>97951</v>
      </c>
      <c r="F63" s="187">
        <f t="shared" si="9"/>
        <v>325197</v>
      </c>
      <c r="H63" s="53"/>
    </row>
    <row r="64" spans="1:8" x14ac:dyDescent="0.25">
      <c r="A64" s="222">
        <f t="shared" si="10"/>
        <v>10</v>
      </c>
      <c r="B64" s="179" t="s">
        <v>353</v>
      </c>
      <c r="C64" s="222"/>
      <c r="D64" s="186"/>
      <c r="E64" s="187"/>
      <c r="F64" s="187"/>
      <c r="H64" s="53"/>
    </row>
    <row r="65" spans="1:8" ht="29.25" x14ac:dyDescent="0.25">
      <c r="A65" s="222">
        <f t="shared" si="10"/>
        <v>11</v>
      </c>
      <c r="B65" s="13" t="s">
        <v>355</v>
      </c>
      <c r="C65" s="222" t="s">
        <v>115</v>
      </c>
      <c r="D65" s="186">
        <v>97.53</v>
      </c>
      <c r="E65" s="187">
        <v>33376</v>
      </c>
      <c r="F65" s="187">
        <f t="shared" si="9"/>
        <v>3255161</v>
      </c>
      <c r="H65" s="53"/>
    </row>
    <row r="66" spans="1:8" x14ac:dyDescent="0.25">
      <c r="A66" s="222">
        <f t="shared" si="10"/>
        <v>12</v>
      </c>
      <c r="B66" s="179" t="s">
        <v>356</v>
      </c>
      <c r="C66" s="222"/>
      <c r="D66" s="186"/>
      <c r="E66" s="187"/>
      <c r="F66" s="187"/>
      <c r="H66" s="53"/>
    </row>
    <row r="67" spans="1:8" ht="29.25" x14ac:dyDescent="0.25">
      <c r="A67" s="222">
        <f t="shared" si="10"/>
        <v>13</v>
      </c>
      <c r="B67" s="13" t="s">
        <v>358</v>
      </c>
      <c r="C67" s="222" t="s">
        <v>115</v>
      </c>
      <c r="D67" s="186">
        <v>100.2</v>
      </c>
      <c r="E67" s="187">
        <v>27958</v>
      </c>
      <c r="F67" s="187">
        <f t="shared" si="9"/>
        <v>2801392</v>
      </c>
      <c r="H67" s="53"/>
    </row>
    <row r="68" spans="1:8" x14ac:dyDescent="0.25">
      <c r="A68" s="222">
        <f t="shared" si="10"/>
        <v>14</v>
      </c>
      <c r="B68" s="13" t="s">
        <v>359</v>
      </c>
      <c r="C68" s="222" t="s">
        <v>115</v>
      </c>
      <c r="D68" s="186">
        <v>25.95</v>
      </c>
      <c r="E68" s="187">
        <v>33239</v>
      </c>
      <c r="F68" s="187">
        <f t="shared" si="9"/>
        <v>862552</v>
      </c>
      <c r="H68" s="53"/>
    </row>
    <row r="69" spans="1:8" x14ac:dyDescent="0.25">
      <c r="A69" s="222">
        <f>A68+1</f>
        <v>15</v>
      </c>
      <c r="B69" s="179" t="s">
        <v>361</v>
      </c>
      <c r="C69" s="222"/>
      <c r="D69" s="177"/>
      <c r="E69" s="187" t="s">
        <v>1</v>
      </c>
      <c r="F69" s="187" t="s">
        <v>1</v>
      </c>
      <c r="H69" s="53"/>
    </row>
    <row r="70" spans="1:8" ht="29.25" x14ac:dyDescent="0.25">
      <c r="A70" s="222">
        <f t="shared" si="10"/>
        <v>16</v>
      </c>
      <c r="B70" s="13" t="s">
        <v>363</v>
      </c>
      <c r="C70" s="222" t="s">
        <v>115</v>
      </c>
      <c r="D70" s="186">
        <v>64.59</v>
      </c>
      <c r="E70" s="187">
        <v>22948</v>
      </c>
      <c r="F70" s="187">
        <f t="shared" si="9"/>
        <v>1482211</v>
      </c>
      <c r="H70" s="53"/>
    </row>
    <row r="71" spans="1:8" ht="29.25" x14ac:dyDescent="0.25">
      <c r="A71" s="222">
        <f t="shared" si="10"/>
        <v>17</v>
      </c>
      <c r="B71" s="13" t="s">
        <v>365</v>
      </c>
      <c r="C71" s="222" t="s">
        <v>115</v>
      </c>
      <c r="D71" s="186">
        <v>25.95</v>
      </c>
      <c r="E71" s="187">
        <v>98560</v>
      </c>
      <c r="F71" s="187">
        <f t="shared" si="9"/>
        <v>2557632</v>
      </c>
      <c r="H71" s="53"/>
    </row>
    <row r="72" spans="1:8" ht="30" x14ac:dyDescent="0.25">
      <c r="A72" s="222">
        <f t="shared" si="10"/>
        <v>18</v>
      </c>
      <c r="B72" s="179" t="s">
        <v>366</v>
      </c>
      <c r="C72" s="222"/>
      <c r="D72" s="177"/>
      <c r="E72" s="187"/>
      <c r="F72" s="187"/>
      <c r="H72" s="53"/>
    </row>
    <row r="73" spans="1:8" ht="29.25" x14ac:dyDescent="0.25">
      <c r="A73" s="222">
        <f t="shared" si="10"/>
        <v>19</v>
      </c>
      <c r="B73" s="13" t="s">
        <v>465</v>
      </c>
      <c r="C73" s="222" t="s">
        <v>115</v>
      </c>
      <c r="D73" s="186">
        <v>2.21</v>
      </c>
      <c r="E73" s="187">
        <v>92060</v>
      </c>
      <c r="F73" s="187">
        <f t="shared" si="9"/>
        <v>203453</v>
      </c>
      <c r="H73" s="53"/>
    </row>
    <row r="74" spans="1:8" ht="57.75" x14ac:dyDescent="0.25">
      <c r="A74" s="222">
        <f t="shared" si="10"/>
        <v>20</v>
      </c>
      <c r="B74" s="13" t="s">
        <v>466</v>
      </c>
      <c r="C74" s="222" t="s">
        <v>115</v>
      </c>
      <c r="D74" s="186">
        <v>25.95</v>
      </c>
      <c r="E74" s="187">
        <v>175955</v>
      </c>
      <c r="F74" s="187">
        <f t="shared" si="9"/>
        <v>4566032</v>
      </c>
      <c r="H74" s="53"/>
    </row>
    <row r="75" spans="1:8" x14ac:dyDescent="0.25">
      <c r="A75" s="222">
        <f t="shared" si="10"/>
        <v>21</v>
      </c>
      <c r="B75" s="13" t="s">
        <v>468</v>
      </c>
      <c r="C75" s="222" t="s">
        <v>115</v>
      </c>
      <c r="D75" s="186">
        <v>17.39</v>
      </c>
      <c r="E75" s="187">
        <v>93377</v>
      </c>
      <c r="F75" s="187">
        <f t="shared" si="9"/>
        <v>1623826</v>
      </c>
      <c r="H75" s="53"/>
    </row>
    <row r="76" spans="1:8" x14ac:dyDescent="0.25">
      <c r="A76" s="222">
        <f t="shared" si="10"/>
        <v>22</v>
      </c>
      <c r="B76" s="179" t="s">
        <v>469</v>
      </c>
      <c r="C76" s="222"/>
      <c r="D76" s="186"/>
      <c r="E76" s="187"/>
      <c r="F76" s="187"/>
      <c r="H76" s="53"/>
    </row>
    <row r="77" spans="1:8" ht="29.25" x14ac:dyDescent="0.25">
      <c r="A77" s="222">
        <f t="shared" si="10"/>
        <v>23</v>
      </c>
      <c r="B77" s="13" t="s">
        <v>470</v>
      </c>
      <c r="C77" s="222" t="s">
        <v>18</v>
      </c>
      <c r="D77" s="186">
        <v>161</v>
      </c>
      <c r="E77" s="187">
        <v>6648</v>
      </c>
      <c r="F77" s="187">
        <f t="shared" si="9"/>
        <v>1070328</v>
      </c>
      <c r="H77" s="53"/>
    </row>
    <row r="78" spans="1:8" ht="86.25" x14ac:dyDescent="0.25">
      <c r="A78" s="222">
        <f t="shared" si="10"/>
        <v>24</v>
      </c>
      <c r="B78" s="17" t="s">
        <v>471</v>
      </c>
      <c r="C78" s="222" t="s">
        <v>23</v>
      </c>
      <c r="D78" s="186">
        <v>17</v>
      </c>
      <c r="E78" s="187">
        <v>65937</v>
      </c>
      <c r="F78" s="187">
        <f t="shared" si="9"/>
        <v>1120929</v>
      </c>
      <c r="H78" s="53"/>
    </row>
    <row r="79" spans="1:8" x14ac:dyDescent="0.25">
      <c r="A79" s="222">
        <f t="shared" si="10"/>
        <v>25</v>
      </c>
      <c r="B79" s="132" t="s">
        <v>472</v>
      </c>
      <c r="C79" s="222" t="s">
        <v>18</v>
      </c>
      <c r="D79" s="177">
        <v>3</v>
      </c>
      <c r="E79" s="187">
        <v>207125</v>
      </c>
      <c r="F79" s="187">
        <f t="shared" si="9"/>
        <v>621375</v>
      </c>
      <c r="H79" s="53"/>
    </row>
    <row r="80" spans="1:8" x14ac:dyDescent="0.25">
      <c r="A80" s="222">
        <f>A79+1</f>
        <v>26</v>
      </c>
      <c r="B80" s="132" t="s">
        <v>473</v>
      </c>
      <c r="C80" s="286" t="s">
        <v>125</v>
      </c>
      <c r="D80" s="177">
        <v>3</v>
      </c>
      <c r="E80" s="178">
        <v>105755</v>
      </c>
      <c r="F80" s="178">
        <f t="shared" si="9"/>
        <v>317265</v>
      </c>
      <c r="H80" s="53"/>
    </row>
    <row r="81" spans="1:11" x14ac:dyDescent="0.25">
      <c r="A81" s="222">
        <f t="shared" si="10"/>
        <v>27</v>
      </c>
      <c r="B81" s="179" t="s">
        <v>394</v>
      </c>
      <c r="C81" s="286"/>
      <c r="D81" s="177"/>
      <c r="E81" s="178">
        <v>0</v>
      </c>
      <c r="F81" s="178">
        <v>0</v>
      </c>
      <c r="H81" s="53"/>
    </row>
    <row r="82" spans="1:11" x14ac:dyDescent="0.25">
      <c r="A82" s="222">
        <f t="shared" si="10"/>
        <v>28</v>
      </c>
      <c r="B82" s="13" t="s">
        <v>396</v>
      </c>
      <c r="C82" s="222" t="s">
        <v>18</v>
      </c>
      <c r="D82" s="177">
        <v>374</v>
      </c>
      <c r="E82" s="187">
        <v>13193</v>
      </c>
      <c r="F82" s="187">
        <f t="shared" si="9"/>
        <v>4934182</v>
      </c>
      <c r="H82" s="53"/>
    </row>
    <row r="83" spans="1:11" ht="42.75" x14ac:dyDescent="0.25">
      <c r="A83" s="222">
        <f t="shared" si="10"/>
        <v>29</v>
      </c>
      <c r="B83" s="9" t="s">
        <v>474</v>
      </c>
      <c r="C83" s="222" t="s">
        <v>115</v>
      </c>
      <c r="D83" s="186">
        <v>15.57</v>
      </c>
      <c r="E83" s="187">
        <v>1197592</v>
      </c>
      <c r="F83" s="187">
        <f t="shared" si="9"/>
        <v>18646507</v>
      </c>
      <c r="H83" s="53"/>
    </row>
    <row r="84" spans="1:11" ht="29.25" x14ac:dyDescent="0.25">
      <c r="A84" s="222">
        <f>A83+1</f>
        <v>30</v>
      </c>
      <c r="B84" s="181" t="s">
        <v>400</v>
      </c>
      <c r="C84" s="222" t="s">
        <v>115</v>
      </c>
      <c r="D84" s="186">
        <v>2.21</v>
      </c>
      <c r="E84" s="187">
        <v>698748</v>
      </c>
      <c r="F84" s="187">
        <f t="shared" si="9"/>
        <v>1544233</v>
      </c>
      <c r="H84" s="53"/>
      <c r="K84" s="53"/>
    </row>
    <row r="85" spans="1:11" x14ac:dyDescent="0.25">
      <c r="A85" s="219"/>
      <c r="B85" s="18" t="s">
        <v>56</v>
      </c>
      <c r="C85" s="54"/>
      <c r="D85" s="130"/>
      <c r="E85" s="28"/>
      <c r="F85" s="28">
        <f>SUM(F56:F84)</f>
        <v>54822582</v>
      </c>
      <c r="I85" s="32"/>
    </row>
    <row r="86" spans="1:11" x14ac:dyDescent="0.25">
      <c r="A86" s="19"/>
      <c r="B86" s="19" t="s">
        <v>60</v>
      </c>
      <c r="C86" s="19"/>
      <c r="D86" s="19"/>
      <c r="E86" s="19"/>
      <c r="F86" s="29">
        <f>ROUND(F85/1.3495,0)</f>
        <v>40624366</v>
      </c>
    </row>
    <row r="87" spans="1:11" x14ac:dyDescent="0.25">
      <c r="A87" s="19"/>
      <c r="B87" s="19" t="s">
        <v>61</v>
      </c>
      <c r="C87" s="131">
        <v>0.24</v>
      </c>
      <c r="D87" s="19"/>
      <c r="E87" s="19"/>
      <c r="F87" s="29">
        <f>ROUND(F86*C87,0)</f>
        <v>9749848</v>
      </c>
    </row>
    <row r="88" spans="1:11" x14ac:dyDescent="0.25">
      <c r="A88" s="19"/>
      <c r="B88" s="19" t="s">
        <v>57</v>
      </c>
      <c r="C88" s="131">
        <v>0.05</v>
      </c>
      <c r="D88" s="19"/>
      <c r="E88" s="19"/>
      <c r="F88" s="29">
        <f>ROUND(F86*C88,0)</f>
        <v>2031218</v>
      </c>
    </row>
    <row r="89" spans="1:11" x14ac:dyDescent="0.25">
      <c r="A89" s="19"/>
      <c r="B89" s="19" t="s">
        <v>62</v>
      </c>
      <c r="C89" s="131">
        <v>0.05</v>
      </c>
      <c r="D89" s="19"/>
      <c r="E89" s="19"/>
      <c r="F89" s="29">
        <f>ROUND(F86*C89,0)</f>
        <v>2031218</v>
      </c>
    </row>
    <row r="90" spans="1:11" x14ac:dyDescent="0.25">
      <c r="A90" s="19"/>
      <c r="B90" s="132" t="s">
        <v>63</v>
      </c>
      <c r="C90" s="133">
        <v>0.19</v>
      </c>
      <c r="D90" s="120"/>
      <c r="E90" s="120"/>
      <c r="F90" s="35">
        <f>ROUND(F89*19%,0)</f>
        <v>385931</v>
      </c>
    </row>
    <row r="91" spans="1:11" x14ac:dyDescent="0.25">
      <c r="A91" s="19"/>
      <c r="B91" s="18" t="s">
        <v>56</v>
      </c>
      <c r="C91" s="19"/>
      <c r="D91" s="19"/>
      <c r="E91" s="19"/>
      <c r="F91" s="30">
        <f>SUM(F86:F90)</f>
        <v>54822581</v>
      </c>
    </row>
    <row r="92" spans="1:11" x14ac:dyDescent="0.25">
      <c r="A92" s="33"/>
      <c r="B92" s="33"/>
      <c r="C92" s="316"/>
      <c r="D92" s="316"/>
      <c r="E92" s="82"/>
      <c r="F92" s="82"/>
    </row>
    <row r="93" spans="1:11" ht="32.25" customHeight="1" x14ac:dyDescent="0.25">
      <c r="A93" s="422" t="s">
        <v>475</v>
      </c>
      <c r="B93" s="422"/>
      <c r="C93" s="422"/>
      <c r="D93" s="422"/>
      <c r="E93" s="422"/>
      <c r="F93" s="422"/>
    </row>
    <row r="94" spans="1:11" x14ac:dyDescent="0.25">
      <c r="A94" s="420" t="s">
        <v>10</v>
      </c>
      <c r="B94" s="420" t="s">
        <v>0</v>
      </c>
      <c r="C94" s="420" t="s">
        <v>11</v>
      </c>
      <c r="D94" s="420" t="s">
        <v>12</v>
      </c>
      <c r="E94" s="420"/>
      <c r="F94" s="420"/>
    </row>
    <row r="95" spans="1:11" x14ac:dyDescent="0.25">
      <c r="A95" s="420"/>
      <c r="B95" s="420"/>
      <c r="C95" s="420"/>
      <c r="D95" s="54" t="s">
        <v>13</v>
      </c>
      <c r="E95" s="54" t="s">
        <v>14</v>
      </c>
      <c r="F95" s="54" t="s">
        <v>15</v>
      </c>
    </row>
    <row r="96" spans="1:11" x14ac:dyDescent="0.25">
      <c r="A96" s="222">
        <f t="shared" ref="A96:A118" si="11">A95+1</f>
        <v>1</v>
      </c>
      <c r="B96" s="18" t="s">
        <v>16</v>
      </c>
      <c r="C96" s="420"/>
      <c r="D96" s="420"/>
      <c r="E96" s="420"/>
      <c r="F96" s="20"/>
    </row>
    <row r="97" spans="1:6" ht="29.25" x14ac:dyDescent="0.25">
      <c r="A97" s="222">
        <f t="shared" si="11"/>
        <v>2</v>
      </c>
      <c r="B97" s="17" t="s">
        <v>77</v>
      </c>
      <c r="C97" s="286" t="s">
        <v>18</v>
      </c>
      <c r="D97" s="61">
        <v>375</v>
      </c>
      <c r="E97" s="243">
        <v>5230</v>
      </c>
      <c r="F97" s="187">
        <f t="shared" ref="F97:F118" si="12">ROUND(D97*E97,0)</f>
        <v>1961250</v>
      </c>
    </row>
    <row r="98" spans="1:6" ht="28.5" x14ac:dyDescent="0.25">
      <c r="A98" s="222">
        <f t="shared" si="11"/>
        <v>3</v>
      </c>
      <c r="B98" s="9" t="s">
        <v>879</v>
      </c>
      <c r="C98" s="286" t="s">
        <v>18</v>
      </c>
      <c r="D98" s="61">
        <v>375</v>
      </c>
      <c r="E98" s="242">
        <v>9600</v>
      </c>
      <c r="F98" s="187">
        <f t="shared" si="12"/>
        <v>3600000</v>
      </c>
    </row>
    <row r="99" spans="1:6" x14ac:dyDescent="0.25">
      <c r="A99" s="222">
        <f t="shared" si="11"/>
        <v>4</v>
      </c>
      <c r="B99" s="17" t="s">
        <v>22</v>
      </c>
      <c r="C99" s="286" t="s">
        <v>23</v>
      </c>
      <c r="D99" s="61">
        <v>6</v>
      </c>
      <c r="E99" s="243">
        <v>155814</v>
      </c>
      <c r="F99" s="187">
        <f t="shared" si="12"/>
        <v>934884</v>
      </c>
    </row>
    <row r="100" spans="1:6" x14ac:dyDescent="0.25">
      <c r="A100" s="222">
        <f t="shared" si="11"/>
        <v>5</v>
      </c>
      <c r="B100" s="188" t="s">
        <v>25</v>
      </c>
      <c r="C100" s="20"/>
      <c r="D100" s="20"/>
      <c r="E100" s="243"/>
      <c r="F100" s="187"/>
    </row>
    <row r="101" spans="1:6" x14ac:dyDescent="0.25">
      <c r="A101" s="222">
        <f t="shared" si="11"/>
        <v>6</v>
      </c>
      <c r="B101" s="56" t="s">
        <v>26</v>
      </c>
      <c r="C101" s="286" t="s">
        <v>18</v>
      </c>
      <c r="D101" s="61">
        <v>760</v>
      </c>
      <c r="E101" s="243">
        <v>7652</v>
      </c>
      <c r="F101" s="187">
        <f t="shared" si="12"/>
        <v>5815520</v>
      </c>
    </row>
    <row r="102" spans="1:6" ht="43.5" x14ac:dyDescent="0.25">
      <c r="A102" s="222">
        <f t="shared" si="11"/>
        <v>7</v>
      </c>
      <c r="B102" s="17" t="s">
        <v>78</v>
      </c>
      <c r="C102" s="286" t="s">
        <v>64</v>
      </c>
      <c r="D102" s="61">
        <v>28.125</v>
      </c>
      <c r="E102" s="243">
        <v>83560</v>
      </c>
      <c r="F102" s="187">
        <f t="shared" si="12"/>
        <v>2350125</v>
      </c>
    </row>
    <row r="103" spans="1:6" x14ac:dyDescent="0.25">
      <c r="A103" s="222">
        <f t="shared" si="11"/>
        <v>8</v>
      </c>
      <c r="B103" s="188" t="s">
        <v>28</v>
      </c>
      <c r="C103" s="20"/>
      <c r="D103" s="20"/>
      <c r="E103" s="243"/>
      <c r="F103" s="187"/>
    </row>
    <row r="104" spans="1:6" x14ac:dyDescent="0.25">
      <c r="A104" s="222">
        <f t="shared" si="11"/>
        <v>9</v>
      </c>
      <c r="B104" s="17" t="s">
        <v>79</v>
      </c>
      <c r="C104" s="286" t="s">
        <v>64</v>
      </c>
      <c r="D104" s="61">
        <v>225</v>
      </c>
      <c r="E104" s="243">
        <v>26395</v>
      </c>
      <c r="F104" s="187">
        <f t="shared" si="12"/>
        <v>5938875</v>
      </c>
    </row>
    <row r="105" spans="1:6" ht="29.25" x14ac:dyDescent="0.25">
      <c r="A105" s="222">
        <f t="shared" si="11"/>
        <v>10</v>
      </c>
      <c r="B105" s="17" t="s">
        <v>32</v>
      </c>
      <c r="C105" s="286" t="s">
        <v>64</v>
      </c>
      <c r="D105" s="61">
        <v>60</v>
      </c>
      <c r="E105" s="243">
        <v>32848</v>
      </c>
      <c r="F105" s="187">
        <f t="shared" si="12"/>
        <v>1970880</v>
      </c>
    </row>
    <row r="106" spans="1:6" x14ac:dyDescent="0.25">
      <c r="A106" s="222">
        <f t="shared" si="11"/>
        <v>11</v>
      </c>
      <c r="B106" s="188" t="s">
        <v>80</v>
      </c>
      <c r="C106" s="20"/>
      <c r="D106" s="20"/>
      <c r="E106" s="243"/>
      <c r="F106" s="187"/>
    </row>
    <row r="107" spans="1:6" x14ac:dyDescent="0.25">
      <c r="A107" s="222">
        <f t="shared" si="11"/>
        <v>12</v>
      </c>
      <c r="B107" s="17" t="s">
        <v>163</v>
      </c>
      <c r="C107" s="286" t="s">
        <v>18</v>
      </c>
      <c r="D107" s="61">
        <v>375</v>
      </c>
      <c r="E107" s="243">
        <v>5945</v>
      </c>
      <c r="F107" s="187">
        <f t="shared" si="12"/>
        <v>2229375</v>
      </c>
    </row>
    <row r="108" spans="1:6" ht="29.25" x14ac:dyDescent="0.25">
      <c r="A108" s="222">
        <f t="shared" si="11"/>
        <v>13</v>
      </c>
      <c r="B108" s="17" t="s">
        <v>82</v>
      </c>
      <c r="C108" s="286" t="s">
        <v>37</v>
      </c>
      <c r="D108" s="61">
        <v>100</v>
      </c>
      <c r="E108" s="243">
        <v>42039</v>
      </c>
      <c r="F108" s="187">
        <f t="shared" si="12"/>
        <v>4203900</v>
      </c>
    </row>
    <row r="109" spans="1:6" x14ac:dyDescent="0.25">
      <c r="A109" s="222">
        <f t="shared" si="11"/>
        <v>14</v>
      </c>
      <c r="B109" s="17" t="s">
        <v>85</v>
      </c>
      <c r="C109" s="286" t="s">
        <v>23</v>
      </c>
      <c r="D109" s="61">
        <v>6</v>
      </c>
      <c r="E109" s="243">
        <v>90583</v>
      </c>
      <c r="F109" s="187">
        <f t="shared" si="12"/>
        <v>543498</v>
      </c>
    </row>
    <row r="110" spans="1:6" x14ac:dyDescent="0.25">
      <c r="A110" s="222">
        <f t="shared" si="11"/>
        <v>15</v>
      </c>
      <c r="B110" s="188" t="s">
        <v>43</v>
      </c>
      <c r="C110" s="20"/>
      <c r="D110" s="20"/>
      <c r="E110" s="243"/>
      <c r="F110" s="187"/>
    </row>
    <row r="111" spans="1:6" x14ac:dyDescent="0.25">
      <c r="A111" s="222">
        <f t="shared" si="11"/>
        <v>16</v>
      </c>
      <c r="B111" s="17" t="s">
        <v>44</v>
      </c>
      <c r="C111" s="286" t="s">
        <v>64</v>
      </c>
      <c r="D111" s="61">
        <v>14</v>
      </c>
      <c r="E111" s="243">
        <v>121019</v>
      </c>
      <c r="F111" s="187">
        <f t="shared" si="12"/>
        <v>1694266</v>
      </c>
    </row>
    <row r="112" spans="1:6" ht="29.25" x14ac:dyDescent="0.25">
      <c r="A112" s="222">
        <f t="shared" si="11"/>
        <v>17</v>
      </c>
      <c r="B112" s="17" t="s">
        <v>45</v>
      </c>
      <c r="C112" s="286" t="s">
        <v>64</v>
      </c>
      <c r="D112" s="61">
        <v>187.5</v>
      </c>
      <c r="E112" s="243">
        <v>22197</v>
      </c>
      <c r="F112" s="187">
        <f t="shared" si="12"/>
        <v>4161938</v>
      </c>
    </row>
    <row r="113" spans="1:6" x14ac:dyDescent="0.25">
      <c r="A113" s="222">
        <f t="shared" si="11"/>
        <v>18</v>
      </c>
      <c r="B113" s="17" t="s">
        <v>273</v>
      </c>
      <c r="C113" s="286" t="s">
        <v>64</v>
      </c>
      <c r="D113" s="61">
        <v>29.5</v>
      </c>
      <c r="E113" s="243">
        <v>145281</v>
      </c>
      <c r="F113" s="187">
        <f t="shared" si="12"/>
        <v>4285790</v>
      </c>
    </row>
    <row r="114" spans="1:6" x14ac:dyDescent="0.25">
      <c r="A114" s="222">
        <f t="shared" si="11"/>
        <v>19</v>
      </c>
      <c r="B114" s="188" t="s">
        <v>48</v>
      </c>
      <c r="C114" s="20"/>
      <c r="D114" s="20"/>
      <c r="E114" s="243"/>
      <c r="F114" s="187"/>
    </row>
    <row r="115" spans="1:6" ht="29.25" x14ac:dyDescent="0.25">
      <c r="A115" s="222">
        <f t="shared" si="11"/>
        <v>20</v>
      </c>
      <c r="B115" s="17" t="s">
        <v>86</v>
      </c>
      <c r="C115" s="286" t="s">
        <v>64</v>
      </c>
      <c r="D115" s="61">
        <v>5</v>
      </c>
      <c r="E115" s="243">
        <v>607296</v>
      </c>
      <c r="F115" s="187">
        <f t="shared" si="12"/>
        <v>3036480</v>
      </c>
    </row>
    <row r="116" spans="1:6" ht="29.25" x14ac:dyDescent="0.25">
      <c r="A116" s="222">
        <f t="shared" si="11"/>
        <v>21</v>
      </c>
      <c r="B116" s="17" t="s">
        <v>50</v>
      </c>
      <c r="C116" s="286" t="s">
        <v>64</v>
      </c>
      <c r="D116" s="61">
        <v>29.5</v>
      </c>
      <c r="E116" s="243">
        <v>824735</v>
      </c>
      <c r="F116" s="187">
        <f t="shared" si="12"/>
        <v>24329683</v>
      </c>
    </row>
    <row r="117" spans="1:6" x14ac:dyDescent="0.25">
      <c r="A117" s="222">
        <f t="shared" si="11"/>
        <v>22</v>
      </c>
      <c r="B117" s="188" t="s">
        <v>51</v>
      </c>
      <c r="C117" s="20"/>
      <c r="D117" s="20"/>
      <c r="E117" s="243"/>
      <c r="F117" s="187"/>
    </row>
    <row r="118" spans="1:6" x14ac:dyDescent="0.25">
      <c r="A118" s="222">
        <f t="shared" si="11"/>
        <v>23</v>
      </c>
      <c r="B118" s="17" t="s">
        <v>88</v>
      </c>
      <c r="C118" s="286" t="s">
        <v>53</v>
      </c>
      <c r="D118" s="61">
        <v>50</v>
      </c>
      <c r="E118" s="243">
        <v>5922</v>
      </c>
      <c r="F118" s="187">
        <f t="shared" si="12"/>
        <v>296100</v>
      </c>
    </row>
    <row r="119" spans="1:6" x14ac:dyDescent="0.25">
      <c r="A119" s="219"/>
      <c r="B119" s="18" t="s">
        <v>56</v>
      </c>
      <c r="C119" s="54"/>
      <c r="D119" s="130"/>
      <c r="E119" s="28"/>
      <c r="F119" s="28">
        <f>SUM(F97:F118)</f>
        <v>67352564</v>
      </c>
    </row>
    <row r="120" spans="1:6" x14ac:dyDescent="0.25">
      <c r="A120" s="19"/>
      <c r="B120" s="19" t="s">
        <v>60</v>
      </c>
      <c r="C120" s="19"/>
      <c r="D120" s="19"/>
      <c r="E120" s="19"/>
      <c r="F120" s="29">
        <f>ROUND(F119/1.3495,0)</f>
        <v>49909273</v>
      </c>
    </row>
    <row r="121" spans="1:6" x14ac:dyDescent="0.25">
      <c r="A121" s="19"/>
      <c r="B121" s="19" t="s">
        <v>61</v>
      </c>
      <c r="C121" s="131">
        <v>0.24</v>
      </c>
      <c r="D121" s="19"/>
      <c r="E121" s="19"/>
      <c r="F121" s="29">
        <f>ROUND(F120*C121,0)</f>
        <v>11978226</v>
      </c>
    </row>
    <row r="122" spans="1:6" x14ac:dyDescent="0.25">
      <c r="A122" s="19"/>
      <c r="B122" s="19" t="s">
        <v>57</v>
      </c>
      <c r="C122" s="131">
        <v>0.05</v>
      </c>
      <c r="D122" s="19"/>
      <c r="E122" s="19"/>
      <c r="F122" s="29">
        <f>ROUND(F120*C122,0)</f>
        <v>2495464</v>
      </c>
    </row>
    <row r="123" spans="1:6" x14ac:dyDescent="0.25">
      <c r="A123" s="19"/>
      <c r="B123" s="19" t="s">
        <v>62</v>
      </c>
      <c r="C123" s="131">
        <v>0.05</v>
      </c>
      <c r="D123" s="19"/>
      <c r="E123" s="19"/>
      <c r="F123" s="29">
        <f>ROUND(F120*C123,0)</f>
        <v>2495464</v>
      </c>
    </row>
    <row r="124" spans="1:6" x14ac:dyDescent="0.25">
      <c r="A124" s="19"/>
      <c r="B124" s="132" t="s">
        <v>63</v>
      </c>
      <c r="C124" s="133">
        <v>0.19</v>
      </c>
      <c r="D124" s="120"/>
      <c r="E124" s="120"/>
      <c r="F124" s="35">
        <f>ROUND(F123*19%,0)</f>
        <v>474138</v>
      </c>
    </row>
    <row r="125" spans="1:6" x14ac:dyDescent="0.25">
      <c r="A125" s="19"/>
      <c r="B125" s="18" t="s">
        <v>56</v>
      </c>
      <c r="C125" s="19"/>
      <c r="D125" s="19"/>
      <c r="E125" s="19"/>
      <c r="F125" s="30">
        <f>SUM(F120:F124)</f>
        <v>67352565</v>
      </c>
    </row>
    <row r="126" spans="1:6" x14ac:dyDescent="0.25">
      <c r="A126" s="81"/>
      <c r="B126" s="81"/>
      <c r="C126" s="81"/>
      <c r="D126" s="81"/>
      <c r="E126" s="81"/>
      <c r="F126" s="81"/>
    </row>
    <row r="127" spans="1:6" ht="39" customHeight="1" x14ac:dyDescent="0.25">
      <c r="A127" s="422" t="s">
        <v>476</v>
      </c>
      <c r="B127" s="422"/>
      <c r="C127" s="422"/>
      <c r="D127" s="422"/>
      <c r="E127" s="422"/>
      <c r="F127" s="422"/>
    </row>
    <row r="128" spans="1:6" x14ac:dyDescent="0.25">
      <c r="A128" s="420" t="s">
        <v>10</v>
      </c>
      <c r="B128" s="420" t="s">
        <v>0</v>
      </c>
      <c r="C128" s="420" t="s">
        <v>11</v>
      </c>
      <c r="D128" s="420" t="s">
        <v>12</v>
      </c>
      <c r="E128" s="420"/>
      <c r="F128" s="420"/>
    </row>
    <row r="129" spans="1:6" x14ac:dyDescent="0.25">
      <c r="A129" s="420"/>
      <c r="B129" s="420"/>
      <c r="C129" s="420"/>
      <c r="D129" s="54" t="s">
        <v>13</v>
      </c>
      <c r="E129" s="54" t="s">
        <v>14</v>
      </c>
      <c r="F129" s="54" t="s">
        <v>15</v>
      </c>
    </row>
    <row r="130" spans="1:6" x14ac:dyDescent="0.25">
      <c r="A130" s="222">
        <f t="shared" ref="A130:A152" si="13">A129+1</f>
        <v>1</v>
      </c>
      <c r="B130" s="18" t="s">
        <v>16</v>
      </c>
      <c r="C130" s="420"/>
      <c r="D130" s="420"/>
      <c r="E130" s="420"/>
      <c r="F130" s="20"/>
    </row>
    <row r="131" spans="1:6" ht="29.25" x14ac:dyDescent="0.25">
      <c r="A131" s="222">
        <f t="shared" si="13"/>
        <v>2</v>
      </c>
      <c r="B131" s="17" t="s">
        <v>77</v>
      </c>
      <c r="C131" s="286" t="s">
        <v>18</v>
      </c>
      <c r="D131" s="61">
        <v>90</v>
      </c>
      <c r="E131" s="243">
        <v>5230</v>
      </c>
      <c r="F131" s="187">
        <f t="shared" ref="F131:F152" si="14">ROUND(D131*E131,0)</f>
        <v>470700</v>
      </c>
    </row>
    <row r="132" spans="1:6" ht="28.5" x14ac:dyDescent="0.25">
      <c r="A132" s="222">
        <f t="shared" si="13"/>
        <v>3</v>
      </c>
      <c r="B132" s="9" t="s">
        <v>879</v>
      </c>
      <c r="C132" s="286" t="s">
        <v>18</v>
      </c>
      <c r="D132" s="61">
        <v>90</v>
      </c>
      <c r="E132" s="242">
        <v>9600</v>
      </c>
      <c r="F132" s="187">
        <f t="shared" si="14"/>
        <v>864000</v>
      </c>
    </row>
    <row r="133" spans="1:6" x14ac:dyDescent="0.25">
      <c r="A133" s="222">
        <f t="shared" si="13"/>
        <v>4</v>
      </c>
      <c r="B133" s="55" t="s">
        <v>22</v>
      </c>
      <c r="C133" s="286" t="s">
        <v>23</v>
      </c>
      <c r="D133" s="61">
        <v>4</v>
      </c>
      <c r="E133" s="243">
        <v>155814</v>
      </c>
      <c r="F133" s="187">
        <f t="shared" si="14"/>
        <v>623256</v>
      </c>
    </row>
    <row r="134" spans="1:6" x14ac:dyDescent="0.25">
      <c r="A134" s="222">
        <f t="shared" si="13"/>
        <v>5</v>
      </c>
      <c r="B134" s="18" t="s">
        <v>25</v>
      </c>
      <c r="C134" s="20"/>
      <c r="D134" s="20"/>
      <c r="E134" s="222">
        <f t="shared" ref="E134" si="15">E133+1</f>
        <v>155815</v>
      </c>
      <c r="F134" s="222">
        <f t="shared" ref="F134" si="16">F133+1</f>
        <v>623257</v>
      </c>
    </row>
    <row r="135" spans="1:6" x14ac:dyDescent="0.25">
      <c r="A135" s="222">
        <f t="shared" si="13"/>
        <v>6</v>
      </c>
      <c r="B135" s="56" t="s">
        <v>26</v>
      </c>
      <c r="C135" s="286" t="s">
        <v>18</v>
      </c>
      <c r="D135" s="61">
        <v>190</v>
      </c>
      <c r="E135" s="243">
        <v>7652</v>
      </c>
      <c r="F135" s="187">
        <f t="shared" si="14"/>
        <v>1453880</v>
      </c>
    </row>
    <row r="136" spans="1:6" ht="43.5" x14ac:dyDescent="0.25">
      <c r="A136" s="222">
        <f t="shared" si="13"/>
        <v>7</v>
      </c>
      <c r="B136" s="17" t="s">
        <v>78</v>
      </c>
      <c r="C136" s="286" t="s">
        <v>64</v>
      </c>
      <c r="D136" s="61">
        <v>6.75</v>
      </c>
      <c r="E136" s="243">
        <v>83560</v>
      </c>
      <c r="F136" s="187">
        <f t="shared" si="14"/>
        <v>564030</v>
      </c>
    </row>
    <row r="137" spans="1:6" x14ac:dyDescent="0.25">
      <c r="A137" s="222">
        <f t="shared" si="13"/>
        <v>8</v>
      </c>
      <c r="B137" s="18" t="s">
        <v>28</v>
      </c>
      <c r="C137" s="20"/>
      <c r="D137" s="20"/>
      <c r="E137" s="243"/>
      <c r="F137" s="187"/>
    </row>
    <row r="138" spans="1:6" x14ac:dyDescent="0.25">
      <c r="A138" s="222">
        <f t="shared" si="13"/>
        <v>9</v>
      </c>
      <c r="B138" s="55" t="s">
        <v>79</v>
      </c>
      <c r="C138" s="286" t="s">
        <v>64</v>
      </c>
      <c r="D138" s="61">
        <v>54</v>
      </c>
      <c r="E138" s="243">
        <v>26395</v>
      </c>
      <c r="F138" s="187">
        <f t="shared" si="14"/>
        <v>1425330</v>
      </c>
    </row>
    <row r="139" spans="1:6" ht="29.25" x14ac:dyDescent="0.25">
      <c r="A139" s="222">
        <f t="shared" si="13"/>
        <v>10</v>
      </c>
      <c r="B139" s="17" t="s">
        <v>32</v>
      </c>
      <c r="C139" s="286" t="s">
        <v>64</v>
      </c>
      <c r="D139" s="61">
        <v>7</v>
      </c>
      <c r="E139" s="243">
        <v>32848</v>
      </c>
      <c r="F139" s="187">
        <f t="shared" si="14"/>
        <v>229936</v>
      </c>
    </row>
    <row r="140" spans="1:6" x14ac:dyDescent="0.25">
      <c r="A140" s="222">
        <f t="shared" si="13"/>
        <v>11</v>
      </c>
      <c r="B140" s="18" t="s">
        <v>80</v>
      </c>
      <c r="C140" s="20"/>
      <c r="D140" s="20"/>
      <c r="E140" s="243"/>
      <c r="F140" s="187"/>
    </row>
    <row r="141" spans="1:6" x14ac:dyDescent="0.25">
      <c r="A141" s="222">
        <f t="shared" si="13"/>
        <v>12</v>
      </c>
      <c r="B141" s="55" t="s">
        <v>163</v>
      </c>
      <c r="C141" s="286" t="s">
        <v>18</v>
      </c>
      <c r="D141" s="61">
        <v>90</v>
      </c>
      <c r="E141" s="243">
        <v>5945</v>
      </c>
      <c r="F141" s="187">
        <f t="shared" si="14"/>
        <v>535050</v>
      </c>
    </row>
    <row r="142" spans="1:6" ht="29.25" x14ac:dyDescent="0.25">
      <c r="A142" s="222">
        <f t="shared" si="13"/>
        <v>13</v>
      </c>
      <c r="B142" s="17" t="s">
        <v>82</v>
      </c>
      <c r="C142" s="286" t="s">
        <v>37</v>
      </c>
      <c r="D142" s="61">
        <v>8</v>
      </c>
      <c r="E142" s="243">
        <v>42039</v>
      </c>
      <c r="F142" s="187">
        <f t="shared" si="14"/>
        <v>336312</v>
      </c>
    </row>
    <row r="143" spans="1:6" x14ac:dyDescent="0.25">
      <c r="A143" s="222">
        <f t="shared" si="13"/>
        <v>14</v>
      </c>
      <c r="B143" s="55" t="s">
        <v>85</v>
      </c>
      <c r="C143" s="286" t="s">
        <v>23</v>
      </c>
      <c r="D143" s="61">
        <v>4</v>
      </c>
      <c r="E143" s="243">
        <v>90583</v>
      </c>
      <c r="F143" s="187">
        <f t="shared" si="14"/>
        <v>362332</v>
      </c>
    </row>
    <row r="144" spans="1:6" x14ac:dyDescent="0.25">
      <c r="A144" s="222">
        <f t="shared" si="13"/>
        <v>15</v>
      </c>
      <c r="B144" s="18" t="s">
        <v>43</v>
      </c>
      <c r="C144" s="20"/>
      <c r="D144" s="20"/>
      <c r="E144" s="243"/>
      <c r="F144" s="187"/>
    </row>
    <row r="145" spans="1:11" x14ac:dyDescent="0.25">
      <c r="A145" s="222">
        <f t="shared" si="13"/>
        <v>16</v>
      </c>
      <c r="B145" s="55" t="s">
        <v>44</v>
      </c>
      <c r="C145" s="286" t="s">
        <v>64</v>
      </c>
      <c r="D145" s="61">
        <v>3</v>
      </c>
      <c r="E145" s="243">
        <v>121019</v>
      </c>
      <c r="F145" s="187">
        <f t="shared" si="14"/>
        <v>363057</v>
      </c>
    </row>
    <row r="146" spans="1:11" ht="29.25" x14ac:dyDescent="0.25">
      <c r="A146" s="222">
        <f t="shared" si="13"/>
        <v>17</v>
      </c>
      <c r="B146" s="17" t="s">
        <v>45</v>
      </c>
      <c r="C146" s="286" t="s">
        <v>64</v>
      </c>
      <c r="D146" s="61">
        <v>50</v>
      </c>
      <c r="E146" s="243">
        <v>22197</v>
      </c>
      <c r="F146" s="187">
        <f t="shared" si="14"/>
        <v>1109850</v>
      </c>
    </row>
    <row r="147" spans="1:11" x14ac:dyDescent="0.25">
      <c r="A147" s="222">
        <f t="shared" si="13"/>
        <v>18</v>
      </c>
      <c r="B147" s="55" t="s">
        <v>273</v>
      </c>
      <c r="C147" s="286" t="s">
        <v>64</v>
      </c>
      <c r="D147" s="61">
        <v>7.5</v>
      </c>
      <c r="E147" s="243">
        <v>145281</v>
      </c>
      <c r="F147" s="187">
        <f t="shared" si="14"/>
        <v>1089608</v>
      </c>
    </row>
    <row r="148" spans="1:11" x14ac:dyDescent="0.25">
      <c r="A148" s="222">
        <f t="shared" si="13"/>
        <v>19</v>
      </c>
      <c r="B148" s="18" t="s">
        <v>48</v>
      </c>
      <c r="C148" s="20"/>
      <c r="D148" s="20"/>
      <c r="E148" s="243"/>
      <c r="F148" s="187"/>
    </row>
    <row r="149" spans="1:11" ht="29.25" x14ac:dyDescent="0.25">
      <c r="A149" s="222">
        <f t="shared" si="13"/>
        <v>20</v>
      </c>
      <c r="B149" s="17" t="s">
        <v>86</v>
      </c>
      <c r="C149" s="286" t="s">
        <v>64</v>
      </c>
      <c r="D149" s="61">
        <v>5</v>
      </c>
      <c r="E149" s="243">
        <v>607296</v>
      </c>
      <c r="F149" s="187">
        <f t="shared" si="14"/>
        <v>3036480</v>
      </c>
    </row>
    <row r="150" spans="1:11" ht="29.25" x14ac:dyDescent="0.25">
      <c r="A150" s="222">
        <f t="shared" si="13"/>
        <v>21</v>
      </c>
      <c r="B150" s="17" t="s">
        <v>50</v>
      </c>
      <c r="C150" s="286" t="s">
        <v>64</v>
      </c>
      <c r="D150" s="61">
        <v>7.5</v>
      </c>
      <c r="E150" s="243">
        <v>824735</v>
      </c>
      <c r="F150" s="187">
        <f t="shared" si="14"/>
        <v>6185513</v>
      </c>
    </row>
    <row r="151" spans="1:11" x14ac:dyDescent="0.25">
      <c r="A151" s="222">
        <f t="shared" si="13"/>
        <v>22</v>
      </c>
      <c r="B151" s="18" t="s">
        <v>51</v>
      </c>
      <c r="C151" s="20"/>
      <c r="D151" s="20"/>
      <c r="E151" s="243"/>
      <c r="F151" s="187"/>
      <c r="K151" s="53"/>
    </row>
    <row r="152" spans="1:11" x14ac:dyDescent="0.25">
      <c r="A152" s="222">
        <f t="shared" si="13"/>
        <v>23</v>
      </c>
      <c r="B152" s="55" t="s">
        <v>88</v>
      </c>
      <c r="C152" s="286" t="s">
        <v>53</v>
      </c>
      <c r="D152" s="61">
        <v>50</v>
      </c>
      <c r="E152" s="243">
        <v>5922</v>
      </c>
      <c r="F152" s="187">
        <f t="shared" si="14"/>
        <v>296100</v>
      </c>
    </row>
    <row r="153" spans="1:11" x14ac:dyDescent="0.25">
      <c r="A153" s="219"/>
      <c r="B153" s="18" t="s">
        <v>56</v>
      </c>
      <c r="C153" s="54"/>
      <c r="D153" s="130"/>
      <c r="E153" s="28"/>
      <c r="F153" s="28">
        <f>SUM(F131:F152)</f>
        <v>19568691</v>
      </c>
    </row>
    <row r="154" spans="1:11" x14ac:dyDescent="0.25">
      <c r="A154" s="19"/>
      <c r="B154" s="19" t="s">
        <v>60</v>
      </c>
      <c r="C154" s="19"/>
      <c r="D154" s="19"/>
      <c r="E154" s="19"/>
      <c r="F154" s="29">
        <f>ROUND(F153/1.3495,0)</f>
        <v>14500697</v>
      </c>
    </row>
    <row r="155" spans="1:11" x14ac:dyDescent="0.25">
      <c r="A155" s="19"/>
      <c r="B155" s="19" t="s">
        <v>61</v>
      </c>
      <c r="C155" s="131">
        <v>0.24</v>
      </c>
      <c r="D155" s="19"/>
      <c r="E155" s="19"/>
      <c r="F155" s="29">
        <f>ROUND(F154*C155,0)</f>
        <v>3480167</v>
      </c>
    </row>
    <row r="156" spans="1:11" x14ac:dyDescent="0.25">
      <c r="A156" s="19"/>
      <c r="B156" s="19" t="s">
        <v>57</v>
      </c>
      <c r="C156" s="131">
        <v>0.05</v>
      </c>
      <c r="D156" s="19"/>
      <c r="E156" s="19"/>
      <c r="F156" s="29">
        <f>ROUND(F154*C156,0)</f>
        <v>725035</v>
      </c>
    </row>
    <row r="157" spans="1:11" x14ac:dyDescent="0.25">
      <c r="A157" s="19"/>
      <c r="B157" s="19" t="s">
        <v>62</v>
      </c>
      <c r="C157" s="131">
        <v>0.05</v>
      </c>
      <c r="D157" s="19"/>
      <c r="E157" s="19"/>
      <c r="F157" s="29">
        <f>ROUND(F154*C157,0)</f>
        <v>725035</v>
      </c>
    </row>
    <row r="158" spans="1:11" x14ac:dyDescent="0.25">
      <c r="A158" s="19"/>
      <c r="B158" s="132" t="s">
        <v>63</v>
      </c>
      <c r="C158" s="133">
        <v>0.19</v>
      </c>
      <c r="D158" s="120"/>
      <c r="E158" s="120"/>
      <c r="F158" s="35">
        <f>ROUND(F157*19%,0)</f>
        <v>137757</v>
      </c>
    </row>
    <row r="159" spans="1:11" x14ac:dyDescent="0.25">
      <c r="A159" s="19"/>
      <c r="B159" s="18" t="s">
        <v>56</v>
      </c>
      <c r="C159" s="19"/>
      <c r="D159" s="19"/>
      <c r="E159" s="19"/>
      <c r="F159" s="30">
        <f>SUM(F154:F158)</f>
        <v>19568691</v>
      </c>
    </row>
    <row r="160" spans="1:11" x14ac:dyDescent="0.25">
      <c r="A160" s="81"/>
      <c r="B160" s="81"/>
      <c r="C160" s="81"/>
      <c r="D160" s="81"/>
      <c r="E160" s="81"/>
      <c r="F160" s="81"/>
    </row>
    <row r="161" spans="1:6" x14ac:dyDescent="0.25">
      <c r="A161" s="422" t="s">
        <v>506</v>
      </c>
      <c r="B161" s="422"/>
      <c r="C161" s="422"/>
      <c r="D161" s="422"/>
      <c r="E161" s="422"/>
      <c r="F161" s="422"/>
    </row>
    <row r="162" spans="1:6" x14ac:dyDescent="0.25">
      <c r="A162" s="420" t="s">
        <v>10</v>
      </c>
      <c r="B162" s="420" t="s">
        <v>0</v>
      </c>
      <c r="C162" s="420" t="s">
        <v>11</v>
      </c>
      <c r="D162" s="420" t="s">
        <v>12</v>
      </c>
      <c r="E162" s="420"/>
      <c r="F162" s="420"/>
    </row>
    <row r="163" spans="1:6" x14ac:dyDescent="0.25">
      <c r="A163" s="420"/>
      <c r="B163" s="420"/>
      <c r="C163" s="420"/>
      <c r="D163" s="54" t="s">
        <v>13</v>
      </c>
      <c r="E163" s="54" t="s">
        <v>14</v>
      </c>
      <c r="F163" s="54" t="s">
        <v>15</v>
      </c>
    </row>
    <row r="164" spans="1:6" x14ac:dyDescent="0.25">
      <c r="A164" s="222">
        <f t="shared" ref="A164:A186" si="17">A163+1</f>
        <v>1</v>
      </c>
      <c r="B164" s="18" t="s">
        <v>16</v>
      </c>
      <c r="C164" s="420"/>
      <c r="D164" s="420"/>
      <c r="E164" s="420"/>
      <c r="F164" s="20"/>
    </row>
    <row r="165" spans="1:6" ht="29.25" x14ac:dyDescent="0.25">
      <c r="A165" s="222">
        <f t="shared" si="17"/>
        <v>2</v>
      </c>
      <c r="B165" s="17" t="s">
        <v>77</v>
      </c>
      <c r="C165" s="286" t="s">
        <v>18</v>
      </c>
      <c r="D165" s="61">
        <v>630</v>
      </c>
      <c r="E165" s="243">
        <v>5230</v>
      </c>
      <c r="F165" s="187">
        <f t="shared" ref="F165:F186" si="18">ROUND(D165*E165,0)</f>
        <v>3294900</v>
      </c>
    </row>
    <row r="166" spans="1:6" ht="28.5" x14ac:dyDescent="0.25">
      <c r="A166" s="222">
        <f t="shared" si="17"/>
        <v>3</v>
      </c>
      <c r="B166" s="9" t="s">
        <v>879</v>
      </c>
      <c r="C166" s="286" t="s">
        <v>18</v>
      </c>
      <c r="D166" s="61">
        <v>630</v>
      </c>
      <c r="E166" s="242">
        <v>9600</v>
      </c>
      <c r="F166" s="187">
        <f t="shared" si="18"/>
        <v>6048000</v>
      </c>
    </row>
    <row r="167" spans="1:6" x14ac:dyDescent="0.25">
      <c r="A167" s="222">
        <f t="shared" si="17"/>
        <v>4</v>
      </c>
      <c r="B167" s="17" t="s">
        <v>22</v>
      </c>
      <c r="C167" s="286" t="s">
        <v>23</v>
      </c>
      <c r="D167" s="61">
        <v>4</v>
      </c>
      <c r="E167" s="243">
        <v>155814</v>
      </c>
      <c r="F167" s="187">
        <f t="shared" si="18"/>
        <v>623256</v>
      </c>
    </row>
    <row r="168" spans="1:6" x14ac:dyDescent="0.25">
      <c r="A168" s="222">
        <f t="shared" si="17"/>
        <v>5</v>
      </c>
      <c r="B168" s="188" t="s">
        <v>25</v>
      </c>
      <c r="C168" s="20"/>
      <c r="D168" s="20"/>
      <c r="E168" s="243" t="s">
        <v>1</v>
      </c>
      <c r="F168" s="187" t="s">
        <v>1</v>
      </c>
    </row>
    <row r="169" spans="1:6" x14ac:dyDescent="0.25">
      <c r="A169" s="222">
        <f t="shared" si="17"/>
        <v>6</v>
      </c>
      <c r="B169" s="56" t="s">
        <v>26</v>
      </c>
      <c r="C169" s="286" t="s">
        <v>18</v>
      </c>
      <c r="D169" s="61">
        <v>1261</v>
      </c>
      <c r="E169" s="243">
        <v>7652</v>
      </c>
      <c r="F169" s="187">
        <f t="shared" si="18"/>
        <v>9649172</v>
      </c>
    </row>
    <row r="170" spans="1:6" ht="43.5" x14ac:dyDescent="0.25">
      <c r="A170" s="222">
        <f t="shared" si="17"/>
        <v>7</v>
      </c>
      <c r="B170" s="17" t="s">
        <v>78</v>
      </c>
      <c r="C170" s="286" t="s">
        <v>64</v>
      </c>
      <c r="D170" s="61">
        <v>47.25</v>
      </c>
      <c r="E170" s="243">
        <v>83560</v>
      </c>
      <c r="F170" s="187">
        <f t="shared" si="18"/>
        <v>3948210</v>
      </c>
    </row>
    <row r="171" spans="1:6" x14ac:dyDescent="0.25">
      <c r="A171" s="222">
        <f t="shared" si="17"/>
        <v>8</v>
      </c>
      <c r="B171" s="188" t="s">
        <v>28</v>
      </c>
      <c r="C171" s="20"/>
      <c r="D171" s="20"/>
      <c r="E171" s="243" t="s">
        <v>1</v>
      </c>
      <c r="F171" s="187" t="s">
        <v>1</v>
      </c>
    </row>
    <row r="172" spans="1:6" x14ac:dyDescent="0.25">
      <c r="A172" s="222">
        <f t="shared" si="17"/>
        <v>9</v>
      </c>
      <c r="B172" s="17" t="s">
        <v>79</v>
      </c>
      <c r="C172" s="286" t="s">
        <v>64</v>
      </c>
      <c r="D172" s="61">
        <v>378</v>
      </c>
      <c r="E172" s="243">
        <v>26395</v>
      </c>
      <c r="F172" s="187">
        <f t="shared" si="18"/>
        <v>9977310</v>
      </c>
    </row>
    <row r="173" spans="1:6" ht="29.25" x14ac:dyDescent="0.25">
      <c r="A173" s="222">
        <f t="shared" si="17"/>
        <v>10</v>
      </c>
      <c r="B173" s="17" t="s">
        <v>32</v>
      </c>
      <c r="C173" s="286" t="s">
        <v>64</v>
      </c>
      <c r="D173" s="61">
        <v>14</v>
      </c>
      <c r="E173" s="243">
        <v>32848</v>
      </c>
      <c r="F173" s="187">
        <f t="shared" si="18"/>
        <v>459872</v>
      </c>
    </row>
    <row r="174" spans="1:6" x14ac:dyDescent="0.25">
      <c r="A174" s="222">
        <f t="shared" si="17"/>
        <v>11</v>
      </c>
      <c r="B174" s="188" t="s">
        <v>80</v>
      </c>
      <c r="C174" s="20"/>
      <c r="D174" s="20"/>
      <c r="E174" s="243" t="s">
        <v>1</v>
      </c>
      <c r="F174" s="187" t="s">
        <v>1</v>
      </c>
    </row>
    <row r="175" spans="1:6" x14ac:dyDescent="0.25">
      <c r="A175" s="222">
        <f t="shared" si="17"/>
        <v>12</v>
      </c>
      <c r="B175" s="17" t="s">
        <v>163</v>
      </c>
      <c r="C175" s="286" t="s">
        <v>18</v>
      </c>
      <c r="D175" s="61">
        <v>630</v>
      </c>
      <c r="E175" s="243">
        <v>5945</v>
      </c>
      <c r="F175" s="187">
        <f t="shared" si="18"/>
        <v>3745350</v>
      </c>
    </row>
    <row r="176" spans="1:6" ht="29.25" x14ac:dyDescent="0.25">
      <c r="A176" s="222">
        <f t="shared" si="17"/>
        <v>13</v>
      </c>
      <c r="B176" s="17" t="s">
        <v>82</v>
      </c>
      <c r="C176" s="286" t="s">
        <v>37</v>
      </c>
      <c r="D176" s="61">
        <v>175</v>
      </c>
      <c r="E176" s="243">
        <v>42039</v>
      </c>
      <c r="F176" s="187">
        <f t="shared" si="18"/>
        <v>7356825</v>
      </c>
    </row>
    <row r="177" spans="1:6" x14ac:dyDescent="0.25">
      <c r="A177" s="222">
        <f t="shared" si="17"/>
        <v>14</v>
      </c>
      <c r="B177" s="17" t="s">
        <v>85</v>
      </c>
      <c r="C177" s="286" t="s">
        <v>23</v>
      </c>
      <c r="D177" s="61">
        <v>8</v>
      </c>
      <c r="E177" s="243">
        <v>90583</v>
      </c>
      <c r="F177" s="187">
        <f t="shared" si="18"/>
        <v>724664</v>
      </c>
    </row>
    <row r="178" spans="1:6" x14ac:dyDescent="0.25">
      <c r="A178" s="222">
        <f t="shared" si="17"/>
        <v>15</v>
      </c>
      <c r="B178" s="188" t="s">
        <v>43</v>
      </c>
      <c r="C178" s="20"/>
      <c r="D178" s="20"/>
      <c r="E178" s="243" t="s">
        <v>1</v>
      </c>
      <c r="F178" s="187" t="s">
        <v>1</v>
      </c>
    </row>
    <row r="179" spans="1:6" x14ac:dyDescent="0.25">
      <c r="A179" s="222">
        <f t="shared" si="17"/>
        <v>16</v>
      </c>
      <c r="B179" s="17" t="s">
        <v>44</v>
      </c>
      <c r="C179" s="286" t="s">
        <v>64</v>
      </c>
      <c r="D179" s="61">
        <v>15.75</v>
      </c>
      <c r="E179" s="243">
        <v>121019</v>
      </c>
      <c r="F179" s="187">
        <f t="shared" si="18"/>
        <v>1906049</v>
      </c>
    </row>
    <row r="180" spans="1:6" ht="28.5" x14ac:dyDescent="0.25">
      <c r="A180" s="222">
        <f t="shared" si="17"/>
        <v>17</v>
      </c>
      <c r="B180" s="9" t="s">
        <v>45</v>
      </c>
      <c r="C180" s="286" t="s">
        <v>64</v>
      </c>
      <c r="D180" s="61">
        <v>315</v>
      </c>
      <c r="E180" s="243">
        <v>22197</v>
      </c>
      <c r="F180" s="187">
        <f t="shared" si="18"/>
        <v>6992055</v>
      </c>
    </row>
    <row r="181" spans="1:6" x14ac:dyDescent="0.25">
      <c r="A181" s="222">
        <f t="shared" si="17"/>
        <v>18</v>
      </c>
      <c r="B181" s="17" t="s">
        <v>273</v>
      </c>
      <c r="C181" s="286" t="s">
        <v>64</v>
      </c>
      <c r="D181" s="61">
        <v>49.5</v>
      </c>
      <c r="E181" s="243">
        <v>145281</v>
      </c>
      <c r="F181" s="187">
        <f t="shared" si="18"/>
        <v>7191410</v>
      </c>
    </row>
    <row r="182" spans="1:6" x14ac:dyDescent="0.25">
      <c r="A182" s="222">
        <f t="shared" si="17"/>
        <v>19</v>
      </c>
      <c r="B182" s="188" t="s">
        <v>48</v>
      </c>
      <c r="C182" s="20"/>
      <c r="D182" s="20"/>
      <c r="E182" s="243" t="s">
        <v>1</v>
      </c>
      <c r="F182" s="187" t="s">
        <v>1</v>
      </c>
    </row>
    <row r="183" spans="1:6" ht="29.25" x14ac:dyDescent="0.25">
      <c r="A183" s="222">
        <f t="shared" si="17"/>
        <v>20</v>
      </c>
      <c r="B183" s="17" t="s">
        <v>86</v>
      </c>
      <c r="C183" s="286" t="s">
        <v>64</v>
      </c>
      <c r="D183" s="61">
        <v>5</v>
      </c>
      <c r="E183" s="243">
        <v>607296</v>
      </c>
      <c r="F183" s="187">
        <f t="shared" si="18"/>
        <v>3036480</v>
      </c>
    </row>
    <row r="184" spans="1:6" ht="29.25" x14ac:dyDescent="0.25">
      <c r="A184" s="222">
        <f t="shared" si="17"/>
        <v>21</v>
      </c>
      <c r="B184" s="17" t="s">
        <v>50</v>
      </c>
      <c r="C184" s="286" t="s">
        <v>64</v>
      </c>
      <c r="D184" s="61">
        <v>49.5</v>
      </c>
      <c r="E184" s="243">
        <v>824735</v>
      </c>
      <c r="F184" s="187">
        <f t="shared" si="18"/>
        <v>40824383</v>
      </c>
    </row>
    <row r="185" spans="1:6" x14ac:dyDescent="0.25">
      <c r="A185" s="222">
        <f t="shared" si="17"/>
        <v>22</v>
      </c>
      <c r="B185" s="188" t="s">
        <v>51</v>
      </c>
      <c r="C185" s="20"/>
      <c r="D185" s="20"/>
      <c r="E185" s="243" t="s">
        <v>1</v>
      </c>
      <c r="F185" s="187" t="s">
        <v>1</v>
      </c>
    </row>
    <row r="186" spans="1:6" x14ac:dyDescent="0.25">
      <c r="A186" s="222">
        <f t="shared" si="17"/>
        <v>23</v>
      </c>
      <c r="B186" s="17" t="s">
        <v>88</v>
      </c>
      <c r="C186" s="286" t="s">
        <v>53</v>
      </c>
      <c r="D186" s="61">
        <v>50</v>
      </c>
      <c r="E186" s="243">
        <v>5922</v>
      </c>
      <c r="F186" s="187">
        <f t="shared" si="18"/>
        <v>296100</v>
      </c>
    </row>
    <row r="187" spans="1:6" x14ac:dyDescent="0.25">
      <c r="A187" s="219"/>
      <c r="B187" s="18" t="s">
        <v>56</v>
      </c>
      <c r="C187" s="54"/>
      <c r="D187" s="130"/>
      <c r="E187" s="28"/>
      <c r="F187" s="28">
        <f>SUM(F164:F186)</f>
        <v>106074036</v>
      </c>
    </row>
    <row r="188" spans="1:6" x14ac:dyDescent="0.25">
      <c r="A188" s="19"/>
      <c r="B188" s="19" t="s">
        <v>60</v>
      </c>
      <c r="C188" s="19"/>
      <c r="D188" s="19"/>
      <c r="E188" s="19"/>
      <c r="F188" s="29">
        <f>ROUND(F187/1.3495,0)</f>
        <v>78602472</v>
      </c>
    </row>
    <row r="189" spans="1:6" x14ac:dyDescent="0.25">
      <c r="A189" s="19"/>
      <c r="B189" s="19" t="s">
        <v>61</v>
      </c>
      <c r="C189" s="131">
        <v>0.24</v>
      </c>
      <c r="D189" s="19"/>
      <c r="E189" s="19"/>
      <c r="F189" s="29">
        <f>ROUND(F188*C189,0)</f>
        <v>18864593</v>
      </c>
    </row>
    <row r="190" spans="1:6" x14ac:dyDescent="0.25">
      <c r="A190" s="19"/>
      <c r="B190" s="19" t="s">
        <v>57</v>
      </c>
      <c r="C190" s="131">
        <v>0.05</v>
      </c>
      <c r="D190" s="19"/>
      <c r="E190" s="19"/>
      <c r="F190" s="29">
        <f>ROUND(F188*C190,0)</f>
        <v>3930124</v>
      </c>
    </row>
    <row r="191" spans="1:6" x14ac:dyDescent="0.25">
      <c r="A191" s="19"/>
      <c r="B191" s="19" t="s">
        <v>62</v>
      </c>
      <c r="C191" s="131">
        <v>0.05</v>
      </c>
      <c r="D191" s="19"/>
      <c r="E191" s="19"/>
      <c r="F191" s="29">
        <f>ROUND(F188*C191,0)</f>
        <v>3930124</v>
      </c>
    </row>
    <row r="192" spans="1:6" x14ac:dyDescent="0.25">
      <c r="A192" s="19"/>
      <c r="B192" s="132" t="s">
        <v>63</v>
      </c>
      <c r="C192" s="133">
        <v>0.19</v>
      </c>
      <c r="D192" s="120"/>
      <c r="E192" s="120"/>
      <c r="F192" s="35">
        <f>ROUND(F191*19%,0)</f>
        <v>746724</v>
      </c>
    </row>
    <row r="193" spans="1:8" x14ac:dyDescent="0.25">
      <c r="A193" s="19"/>
      <c r="B193" s="18" t="s">
        <v>56</v>
      </c>
      <c r="C193" s="19"/>
      <c r="D193" s="19"/>
      <c r="E193" s="19"/>
      <c r="F193" s="30">
        <f>SUM(F188:F192)</f>
        <v>106074037</v>
      </c>
    </row>
    <row r="194" spans="1:8" x14ac:dyDescent="0.25">
      <c r="A194" s="81"/>
      <c r="B194" s="81"/>
      <c r="C194" s="81"/>
      <c r="D194" s="81"/>
      <c r="E194" s="81"/>
      <c r="F194" s="81"/>
      <c r="H194" s="32"/>
    </row>
    <row r="195" spans="1:8" x14ac:dyDescent="0.25">
      <c r="A195" s="422" t="s">
        <v>507</v>
      </c>
      <c r="B195" s="422"/>
      <c r="C195" s="422"/>
      <c r="D195" s="422"/>
      <c r="E195" s="422"/>
      <c r="F195" s="422"/>
    </row>
    <row r="196" spans="1:8" x14ac:dyDescent="0.25">
      <c r="A196" s="420" t="s">
        <v>10</v>
      </c>
      <c r="B196" s="420" t="s">
        <v>0</v>
      </c>
      <c r="C196" s="420" t="s">
        <v>11</v>
      </c>
      <c r="D196" s="420" t="s">
        <v>12</v>
      </c>
      <c r="E196" s="420"/>
      <c r="F196" s="420"/>
    </row>
    <row r="197" spans="1:8" x14ac:dyDescent="0.25">
      <c r="A197" s="420"/>
      <c r="B197" s="420"/>
      <c r="C197" s="420"/>
      <c r="D197" s="54" t="s">
        <v>13</v>
      </c>
      <c r="E197" s="54" t="s">
        <v>14</v>
      </c>
      <c r="F197" s="54" t="s">
        <v>15</v>
      </c>
    </row>
    <row r="198" spans="1:8" x14ac:dyDescent="0.25">
      <c r="A198" s="222">
        <f t="shared" ref="A198:A220" si="19">A197+1</f>
        <v>1</v>
      </c>
      <c r="B198" s="18" t="s">
        <v>16</v>
      </c>
      <c r="C198" s="420"/>
      <c r="D198" s="420"/>
      <c r="E198" s="420"/>
      <c r="F198" s="20"/>
    </row>
    <row r="199" spans="1:8" ht="29.25" x14ac:dyDescent="0.25">
      <c r="A199" s="222">
        <f t="shared" si="19"/>
        <v>2</v>
      </c>
      <c r="B199" s="17" t="s">
        <v>77</v>
      </c>
      <c r="C199" s="286" t="s">
        <v>18</v>
      </c>
      <c r="D199" s="61">
        <v>515</v>
      </c>
      <c r="E199" s="243">
        <v>5230</v>
      </c>
      <c r="F199" s="187">
        <f t="shared" ref="F199:F220" si="20">ROUND(D199*E199,0)</f>
        <v>2693450</v>
      </c>
    </row>
    <row r="200" spans="1:8" ht="28.5" x14ac:dyDescent="0.25">
      <c r="A200" s="222">
        <f t="shared" si="19"/>
        <v>3</v>
      </c>
      <c r="B200" s="9" t="s">
        <v>879</v>
      </c>
      <c r="C200" s="286" t="s">
        <v>18</v>
      </c>
      <c r="D200" s="61">
        <v>515</v>
      </c>
      <c r="E200" s="242">
        <v>9600</v>
      </c>
      <c r="F200" s="187">
        <f t="shared" si="20"/>
        <v>4944000</v>
      </c>
    </row>
    <row r="201" spans="1:8" x14ac:dyDescent="0.25">
      <c r="A201" s="222">
        <f t="shared" si="19"/>
        <v>4</v>
      </c>
      <c r="B201" s="17" t="s">
        <v>22</v>
      </c>
      <c r="C201" s="286" t="s">
        <v>23</v>
      </c>
      <c r="D201" s="61">
        <v>2</v>
      </c>
      <c r="E201" s="243">
        <v>155814</v>
      </c>
      <c r="F201" s="187">
        <f t="shared" si="20"/>
        <v>311628</v>
      </c>
    </row>
    <row r="202" spans="1:8" x14ac:dyDescent="0.25">
      <c r="A202" s="222">
        <f t="shared" si="19"/>
        <v>5</v>
      </c>
      <c r="B202" s="188" t="s">
        <v>25</v>
      </c>
      <c r="C202" s="20"/>
      <c r="D202" s="20"/>
      <c r="E202" s="243"/>
      <c r="F202" s="187"/>
    </row>
    <row r="203" spans="1:8" x14ac:dyDescent="0.25">
      <c r="A203" s="222">
        <f t="shared" si="19"/>
        <v>6</v>
      </c>
      <c r="B203" s="56" t="s">
        <v>26</v>
      </c>
      <c r="C203" s="286" t="s">
        <v>18</v>
      </c>
      <c r="D203" s="61">
        <v>1031</v>
      </c>
      <c r="E203" s="243">
        <v>7652</v>
      </c>
      <c r="F203" s="187">
        <f t="shared" si="20"/>
        <v>7889212</v>
      </c>
    </row>
    <row r="204" spans="1:8" ht="43.5" x14ac:dyDescent="0.25">
      <c r="A204" s="222">
        <f t="shared" si="19"/>
        <v>7</v>
      </c>
      <c r="B204" s="17" t="s">
        <v>78</v>
      </c>
      <c r="C204" s="286" t="s">
        <v>64</v>
      </c>
      <c r="D204" s="61">
        <v>39.5</v>
      </c>
      <c r="E204" s="243">
        <v>83560</v>
      </c>
      <c r="F204" s="187">
        <f t="shared" si="20"/>
        <v>3300620</v>
      </c>
    </row>
    <row r="205" spans="1:8" x14ac:dyDescent="0.25">
      <c r="A205" s="222">
        <f t="shared" si="19"/>
        <v>8</v>
      </c>
      <c r="B205" s="188" t="s">
        <v>28</v>
      </c>
      <c r="C205" s="20"/>
      <c r="D205" s="20"/>
      <c r="E205" s="243"/>
      <c r="F205" s="187"/>
    </row>
    <row r="206" spans="1:8" x14ac:dyDescent="0.25">
      <c r="A206" s="222">
        <f t="shared" si="19"/>
        <v>9</v>
      </c>
      <c r="B206" s="17" t="s">
        <v>79</v>
      </c>
      <c r="C206" s="286" t="s">
        <v>64</v>
      </c>
      <c r="D206" s="61">
        <v>310</v>
      </c>
      <c r="E206" s="243">
        <v>26395</v>
      </c>
      <c r="F206" s="187">
        <f t="shared" si="20"/>
        <v>8182450</v>
      </c>
    </row>
    <row r="207" spans="1:8" ht="29.25" x14ac:dyDescent="0.25">
      <c r="A207" s="222">
        <f t="shared" si="19"/>
        <v>10</v>
      </c>
      <c r="B207" s="17" t="s">
        <v>32</v>
      </c>
      <c r="C207" s="286" t="s">
        <v>64</v>
      </c>
      <c r="D207" s="61">
        <v>55</v>
      </c>
      <c r="E207" s="243">
        <v>32848</v>
      </c>
      <c r="F207" s="187">
        <f t="shared" si="20"/>
        <v>1806640</v>
      </c>
    </row>
    <row r="208" spans="1:8" x14ac:dyDescent="0.25">
      <c r="A208" s="222">
        <f t="shared" si="19"/>
        <v>11</v>
      </c>
      <c r="B208" s="188" t="s">
        <v>80</v>
      </c>
      <c r="C208" s="20"/>
      <c r="D208" s="20"/>
      <c r="E208" s="243"/>
      <c r="F208" s="187"/>
    </row>
    <row r="209" spans="1:6" x14ac:dyDescent="0.25">
      <c r="A209" s="222">
        <f t="shared" si="19"/>
        <v>12</v>
      </c>
      <c r="B209" s="17" t="s">
        <v>81</v>
      </c>
      <c r="C209" s="286" t="s">
        <v>18</v>
      </c>
      <c r="D209" s="61">
        <v>515</v>
      </c>
      <c r="E209" s="243">
        <f>6*1720</f>
        <v>10320</v>
      </c>
      <c r="F209" s="187">
        <f t="shared" si="20"/>
        <v>5314800</v>
      </c>
    </row>
    <row r="210" spans="1:6" ht="29.25" x14ac:dyDescent="0.25">
      <c r="A210" s="222">
        <f t="shared" si="19"/>
        <v>13</v>
      </c>
      <c r="B210" s="17" t="s">
        <v>82</v>
      </c>
      <c r="C210" s="286" t="s">
        <v>37</v>
      </c>
      <c r="D210" s="61">
        <v>85</v>
      </c>
      <c r="E210" s="243">
        <v>42039</v>
      </c>
      <c r="F210" s="187">
        <f t="shared" si="20"/>
        <v>3573315</v>
      </c>
    </row>
    <row r="211" spans="1:6" x14ac:dyDescent="0.25">
      <c r="A211" s="222">
        <f t="shared" si="19"/>
        <v>14</v>
      </c>
      <c r="B211" s="17" t="s">
        <v>85</v>
      </c>
      <c r="C211" s="286" t="s">
        <v>23</v>
      </c>
      <c r="D211" s="61">
        <v>6</v>
      </c>
      <c r="E211" s="243">
        <v>90583</v>
      </c>
      <c r="F211" s="187">
        <f t="shared" si="20"/>
        <v>543498</v>
      </c>
    </row>
    <row r="212" spans="1:6" x14ac:dyDescent="0.25">
      <c r="A212" s="222">
        <f t="shared" si="19"/>
        <v>15</v>
      </c>
      <c r="B212" s="188" t="s">
        <v>43</v>
      </c>
      <c r="C212" s="20"/>
      <c r="D212" s="20"/>
      <c r="E212" s="243"/>
      <c r="F212" s="187"/>
    </row>
    <row r="213" spans="1:6" x14ac:dyDescent="0.25">
      <c r="A213" s="222">
        <f t="shared" si="19"/>
        <v>16</v>
      </c>
      <c r="B213" s="17" t="s">
        <v>44</v>
      </c>
      <c r="C213" s="286" t="s">
        <v>64</v>
      </c>
      <c r="D213" s="61">
        <v>14</v>
      </c>
      <c r="E213" s="243">
        <v>121019</v>
      </c>
      <c r="F213" s="187">
        <f t="shared" si="20"/>
        <v>1694266</v>
      </c>
    </row>
    <row r="214" spans="1:6" ht="29.25" x14ac:dyDescent="0.25">
      <c r="A214" s="222">
        <f t="shared" si="19"/>
        <v>17</v>
      </c>
      <c r="B214" s="17" t="s">
        <v>45</v>
      </c>
      <c r="C214" s="286" t="s">
        <v>64</v>
      </c>
      <c r="D214" s="61">
        <v>260</v>
      </c>
      <c r="E214" s="243">
        <v>22197</v>
      </c>
      <c r="F214" s="187">
        <f t="shared" si="20"/>
        <v>5771220</v>
      </c>
    </row>
    <row r="215" spans="1:6" x14ac:dyDescent="0.25">
      <c r="A215" s="222">
        <f t="shared" si="19"/>
        <v>18</v>
      </c>
      <c r="B215" s="17" t="s">
        <v>273</v>
      </c>
      <c r="C215" s="286" t="s">
        <v>64</v>
      </c>
      <c r="D215" s="61">
        <v>39.5</v>
      </c>
      <c r="E215" s="243">
        <v>145281</v>
      </c>
      <c r="F215" s="187">
        <f t="shared" si="20"/>
        <v>5738600</v>
      </c>
    </row>
    <row r="216" spans="1:6" x14ac:dyDescent="0.25">
      <c r="A216" s="222">
        <f t="shared" si="19"/>
        <v>19</v>
      </c>
      <c r="B216" s="188" t="s">
        <v>48</v>
      </c>
      <c r="C216" s="20"/>
      <c r="D216" s="20"/>
      <c r="E216" s="243"/>
      <c r="F216" s="187"/>
    </row>
    <row r="217" spans="1:6" ht="29.25" x14ac:dyDescent="0.25">
      <c r="A217" s="222">
        <f t="shared" si="19"/>
        <v>20</v>
      </c>
      <c r="B217" s="17" t="s">
        <v>86</v>
      </c>
      <c r="C217" s="286" t="s">
        <v>64</v>
      </c>
      <c r="D217" s="61">
        <v>5</v>
      </c>
      <c r="E217" s="243">
        <v>607296</v>
      </c>
      <c r="F217" s="187">
        <f t="shared" si="20"/>
        <v>3036480</v>
      </c>
    </row>
    <row r="218" spans="1:6" ht="29.25" x14ac:dyDescent="0.25">
      <c r="A218" s="222">
        <f t="shared" si="19"/>
        <v>21</v>
      </c>
      <c r="B218" s="17" t="s">
        <v>50</v>
      </c>
      <c r="C218" s="286" t="s">
        <v>64</v>
      </c>
      <c r="D218" s="61">
        <v>39.5</v>
      </c>
      <c r="E218" s="243">
        <v>824735</v>
      </c>
      <c r="F218" s="187">
        <f t="shared" si="20"/>
        <v>32577033</v>
      </c>
    </row>
    <row r="219" spans="1:6" x14ac:dyDescent="0.25">
      <c r="A219" s="222">
        <f t="shared" si="19"/>
        <v>22</v>
      </c>
      <c r="B219" s="188" t="s">
        <v>51</v>
      </c>
      <c r="C219" s="20"/>
      <c r="D219" s="20"/>
      <c r="E219" s="243"/>
      <c r="F219" s="187"/>
    </row>
    <row r="220" spans="1:6" x14ac:dyDescent="0.25">
      <c r="A220" s="222">
        <f t="shared" si="19"/>
        <v>23</v>
      </c>
      <c r="B220" s="17" t="s">
        <v>88</v>
      </c>
      <c r="C220" s="286" t="s">
        <v>53</v>
      </c>
      <c r="D220" s="61">
        <v>50</v>
      </c>
      <c r="E220" s="243">
        <v>5922</v>
      </c>
      <c r="F220" s="187">
        <f t="shared" si="20"/>
        <v>296100</v>
      </c>
    </row>
    <row r="221" spans="1:6" x14ac:dyDescent="0.25">
      <c r="A221" s="219"/>
      <c r="B221" s="18" t="s">
        <v>56</v>
      </c>
      <c r="C221" s="54"/>
      <c r="D221" s="130"/>
      <c r="E221" s="28"/>
      <c r="F221" s="28">
        <f>SUM(F199:F220)</f>
        <v>87673312</v>
      </c>
    </row>
    <row r="222" spans="1:6" x14ac:dyDescent="0.25">
      <c r="A222" s="19"/>
      <c r="B222" s="19" t="s">
        <v>60</v>
      </c>
      <c r="C222" s="19"/>
      <c r="D222" s="19"/>
      <c r="E222" s="19"/>
      <c r="F222" s="29">
        <f>ROUND(F221/1.3495,0)</f>
        <v>64967256</v>
      </c>
    </row>
    <row r="223" spans="1:6" x14ac:dyDescent="0.25">
      <c r="A223" s="19"/>
      <c r="B223" s="19" t="s">
        <v>61</v>
      </c>
      <c r="C223" s="131">
        <v>0.24</v>
      </c>
      <c r="D223" s="19"/>
      <c r="E223" s="19"/>
      <c r="F223" s="29">
        <f>ROUND(F222*C223,0)</f>
        <v>15592141</v>
      </c>
    </row>
    <row r="224" spans="1:6" x14ac:dyDescent="0.25">
      <c r="A224" s="19"/>
      <c r="B224" s="19" t="s">
        <v>57</v>
      </c>
      <c r="C224" s="131">
        <v>0.05</v>
      </c>
      <c r="D224" s="19"/>
      <c r="E224" s="19"/>
      <c r="F224" s="29">
        <f>ROUND(F222*C224,0)</f>
        <v>3248363</v>
      </c>
    </row>
    <row r="225" spans="1:8" x14ac:dyDescent="0.25">
      <c r="A225" s="19"/>
      <c r="B225" s="19" t="s">
        <v>62</v>
      </c>
      <c r="C225" s="131">
        <v>0.05</v>
      </c>
      <c r="D225" s="19"/>
      <c r="E225" s="19"/>
      <c r="F225" s="29">
        <f>ROUND(F222*C225,0)</f>
        <v>3248363</v>
      </c>
    </row>
    <row r="226" spans="1:8" x14ac:dyDescent="0.25">
      <c r="A226" s="19"/>
      <c r="B226" s="132" t="s">
        <v>63</v>
      </c>
      <c r="C226" s="133">
        <v>0.19</v>
      </c>
      <c r="D226" s="120"/>
      <c r="E226" s="120"/>
      <c r="F226" s="35">
        <f>ROUND(F225*19%,0)</f>
        <v>617189</v>
      </c>
    </row>
    <row r="227" spans="1:8" x14ac:dyDescent="0.25">
      <c r="A227" s="19"/>
      <c r="B227" s="18" t="s">
        <v>56</v>
      </c>
      <c r="C227" s="19"/>
      <c r="D227" s="19"/>
      <c r="E227" s="19"/>
      <c r="F227" s="30">
        <f>SUM(F222:F226)</f>
        <v>87673312</v>
      </c>
    </row>
    <row r="228" spans="1:8" x14ac:dyDescent="0.25">
      <c r="A228" s="73"/>
      <c r="B228" s="74"/>
      <c r="C228" s="76"/>
      <c r="D228" s="76"/>
      <c r="E228" s="77"/>
      <c r="F228" s="75"/>
      <c r="H228" s="32"/>
    </row>
    <row r="229" spans="1:8" x14ac:dyDescent="0.25">
      <c r="A229" s="422" t="s">
        <v>510</v>
      </c>
      <c r="B229" s="422"/>
      <c r="C229" s="422"/>
      <c r="D229" s="422"/>
      <c r="E229" s="422"/>
      <c r="F229" s="422"/>
    </row>
    <row r="230" spans="1:8" x14ac:dyDescent="0.25">
      <c r="A230" s="420" t="s">
        <v>10</v>
      </c>
      <c r="B230" s="420" t="s">
        <v>0</v>
      </c>
      <c r="C230" s="420" t="s">
        <v>11</v>
      </c>
      <c r="D230" s="420" t="s">
        <v>12</v>
      </c>
      <c r="E230" s="420"/>
      <c r="F230" s="420"/>
    </row>
    <row r="231" spans="1:8" x14ac:dyDescent="0.25">
      <c r="A231" s="420"/>
      <c r="B231" s="420"/>
      <c r="C231" s="420"/>
      <c r="D231" s="54" t="s">
        <v>13</v>
      </c>
      <c r="E231" s="54" t="s">
        <v>14</v>
      </c>
      <c r="F231" s="54" t="s">
        <v>15</v>
      </c>
    </row>
    <row r="232" spans="1:8" x14ac:dyDescent="0.25">
      <c r="A232" s="219">
        <v>1</v>
      </c>
      <c r="B232" s="18" t="s">
        <v>16</v>
      </c>
      <c r="C232" s="420"/>
      <c r="D232" s="420"/>
      <c r="E232" s="420"/>
      <c r="F232" s="20"/>
    </row>
    <row r="233" spans="1:8" ht="29.25" x14ac:dyDescent="0.25">
      <c r="A233" s="222">
        <v>1.1000000000000001</v>
      </c>
      <c r="B233" s="17" t="s">
        <v>77</v>
      </c>
      <c r="C233" s="286" t="s">
        <v>18</v>
      </c>
      <c r="D233" s="61">
        <v>288</v>
      </c>
      <c r="E233" s="243">
        <v>5230</v>
      </c>
      <c r="F233" s="187">
        <f t="shared" ref="F233:F254" si="21">ROUND(D233*E233,0)</f>
        <v>1506240</v>
      </c>
    </row>
    <row r="234" spans="1:8" ht="28.5" x14ac:dyDescent="0.25">
      <c r="A234" s="222">
        <v>1.2</v>
      </c>
      <c r="B234" s="9" t="s">
        <v>879</v>
      </c>
      <c r="C234" s="286" t="s">
        <v>18</v>
      </c>
      <c r="D234" s="61">
        <v>578</v>
      </c>
      <c r="E234" s="242">
        <v>9600</v>
      </c>
      <c r="F234" s="187">
        <f t="shared" si="21"/>
        <v>5548800</v>
      </c>
    </row>
    <row r="235" spans="1:8" x14ac:dyDescent="0.25">
      <c r="A235" s="222">
        <v>1.3</v>
      </c>
      <c r="B235" s="17" t="s">
        <v>22</v>
      </c>
      <c r="C235" s="286" t="s">
        <v>23</v>
      </c>
      <c r="D235" s="61">
        <v>4</v>
      </c>
      <c r="E235" s="243">
        <v>155814</v>
      </c>
      <c r="F235" s="187">
        <f t="shared" si="21"/>
        <v>623256</v>
      </c>
    </row>
    <row r="236" spans="1:8" x14ac:dyDescent="0.25">
      <c r="A236" s="219">
        <v>2</v>
      </c>
      <c r="B236" s="188" t="s">
        <v>25</v>
      </c>
      <c r="C236" s="20"/>
      <c r="D236" s="20"/>
      <c r="E236" s="243"/>
      <c r="F236" s="187"/>
    </row>
    <row r="237" spans="1:8" x14ac:dyDescent="0.25">
      <c r="A237" s="222">
        <v>2.1</v>
      </c>
      <c r="B237" s="56" t="s">
        <v>26</v>
      </c>
      <c r="C237" s="286" t="s">
        <v>18</v>
      </c>
      <c r="D237" s="61">
        <v>577</v>
      </c>
      <c r="E237" s="243">
        <v>7652</v>
      </c>
      <c r="F237" s="187">
        <f t="shared" si="21"/>
        <v>4415204</v>
      </c>
    </row>
    <row r="238" spans="1:8" ht="43.5" x14ac:dyDescent="0.25">
      <c r="A238" s="222">
        <v>2.2000000000000002</v>
      </c>
      <c r="B238" s="17" t="s">
        <v>78</v>
      </c>
      <c r="C238" s="286" t="s">
        <v>64</v>
      </c>
      <c r="D238" s="61">
        <v>22.5</v>
      </c>
      <c r="E238" s="243">
        <v>83560</v>
      </c>
      <c r="F238" s="187">
        <f t="shared" si="21"/>
        <v>1880100</v>
      </c>
    </row>
    <row r="239" spans="1:8" x14ac:dyDescent="0.25">
      <c r="A239" s="219">
        <v>3</v>
      </c>
      <c r="B239" s="188" t="s">
        <v>28</v>
      </c>
      <c r="C239" s="20"/>
      <c r="D239" s="20"/>
      <c r="E239" s="243"/>
      <c r="F239" s="187"/>
    </row>
    <row r="240" spans="1:8" x14ac:dyDescent="0.25">
      <c r="A240" s="222">
        <v>3.1</v>
      </c>
      <c r="B240" s="17" t="s">
        <v>79</v>
      </c>
      <c r="C240" s="286" t="s">
        <v>64</v>
      </c>
      <c r="D240" s="61">
        <v>172.8</v>
      </c>
      <c r="E240" s="243">
        <v>26395</v>
      </c>
      <c r="F240" s="187">
        <f t="shared" si="21"/>
        <v>4561056</v>
      </c>
    </row>
    <row r="241" spans="1:6" ht="29.25" x14ac:dyDescent="0.25">
      <c r="A241" s="222">
        <v>3.2</v>
      </c>
      <c r="B241" s="17" t="s">
        <v>32</v>
      </c>
      <c r="C241" s="286" t="s">
        <v>64</v>
      </c>
      <c r="D241" s="61">
        <v>30.5</v>
      </c>
      <c r="E241" s="243">
        <v>32848</v>
      </c>
      <c r="F241" s="187">
        <f t="shared" si="21"/>
        <v>1001864</v>
      </c>
    </row>
    <row r="242" spans="1:6" x14ac:dyDescent="0.25">
      <c r="A242" s="219">
        <v>4</v>
      </c>
      <c r="B242" s="188" t="s">
        <v>80</v>
      </c>
      <c r="C242" s="20"/>
      <c r="D242" s="20"/>
      <c r="E242" s="243"/>
      <c r="F242" s="187"/>
    </row>
    <row r="243" spans="1:6" x14ac:dyDescent="0.25">
      <c r="A243" s="222">
        <v>4.0999999999999996</v>
      </c>
      <c r="B243" s="17" t="s">
        <v>92</v>
      </c>
      <c r="C243" s="286" t="s">
        <v>18</v>
      </c>
      <c r="D243" s="61">
        <v>288</v>
      </c>
      <c r="E243" s="243">
        <f>2*1720</f>
        <v>3440</v>
      </c>
      <c r="F243" s="187">
        <f t="shared" si="21"/>
        <v>990720</v>
      </c>
    </row>
    <row r="244" spans="1:6" ht="29.25" x14ac:dyDescent="0.25">
      <c r="A244" s="222">
        <v>4.2</v>
      </c>
      <c r="B244" s="17" t="s">
        <v>82</v>
      </c>
      <c r="C244" s="286" t="s">
        <v>37</v>
      </c>
      <c r="D244" s="61">
        <v>65</v>
      </c>
      <c r="E244" s="243">
        <v>42039</v>
      </c>
      <c r="F244" s="187">
        <f t="shared" si="21"/>
        <v>2732535</v>
      </c>
    </row>
    <row r="245" spans="1:6" x14ac:dyDescent="0.25">
      <c r="A245" s="222">
        <v>4.3</v>
      </c>
      <c r="B245" s="17" t="s">
        <v>85</v>
      </c>
      <c r="C245" s="286" t="s">
        <v>23</v>
      </c>
      <c r="D245" s="61">
        <v>4</v>
      </c>
      <c r="E245" s="243">
        <v>90583</v>
      </c>
      <c r="F245" s="187">
        <f t="shared" si="21"/>
        <v>362332</v>
      </c>
    </row>
    <row r="246" spans="1:6" x14ac:dyDescent="0.25">
      <c r="A246" s="219">
        <v>5</v>
      </c>
      <c r="B246" s="188" t="s">
        <v>43</v>
      </c>
      <c r="C246" s="20"/>
      <c r="D246" s="20"/>
      <c r="E246" s="243"/>
      <c r="F246" s="187"/>
    </row>
    <row r="247" spans="1:6" x14ac:dyDescent="0.25">
      <c r="A247" s="222">
        <v>5.0999999999999996</v>
      </c>
      <c r="B247" s="17" t="s">
        <v>44</v>
      </c>
      <c r="C247" s="286" t="s">
        <v>64</v>
      </c>
      <c r="D247" s="61">
        <v>8.5</v>
      </c>
      <c r="E247" s="243">
        <v>121019</v>
      </c>
      <c r="F247" s="187">
        <f t="shared" si="21"/>
        <v>1028662</v>
      </c>
    </row>
    <row r="248" spans="1:6" ht="29.25" x14ac:dyDescent="0.25">
      <c r="A248" s="222">
        <v>5.2</v>
      </c>
      <c r="B248" s="17" t="s">
        <v>45</v>
      </c>
      <c r="C248" s="286" t="s">
        <v>64</v>
      </c>
      <c r="D248" s="61">
        <v>144</v>
      </c>
      <c r="E248" s="243">
        <v>22197</v>
      </c>
      <c r="F248" s="187">
        <f t="shared" si="21"/>
        <v>3196368</v>
      </c>
    </row>
    <row r="249" spans="1:6" x14ac:dyDescent="0.25">
      <c r="A249" s="222">
        <v>5.3</v>
      </c>
      <c r="B249" s="17" t="s">
        <v>273</v>
      </c>
      <c r="C249" s="286" t="s">
        <v>64</v>
      </c>
      <c r="D249" s="61">
        <v>22.5</v>
      </c>
      <c r="E249" s="243">
        <v>145281</v>
      </c>
      <c r="F249" s="187">
        <f t="shared" si="21"/>
        <v>3268823</v>
      </c>
    </row>
    <row r="250" spans="1:6" x14ac:dyDescent="0.25">
      <c r="A250" s="219">
        <v>6</v>
      </c>
      <c r="B250" s="188" t="s">
        <v>48</v>
      </c>
      <c r="C250" s="20"/>
      <c r="D250" s="20"/>
      <c r="E250" s="243"/>
      <c r="F250" s="187"/>
    </row>
    <row r="251" spans="1:6" ht="29.25" x14ac:dyDescent="0.25">
      <c r="A251" s="222">
        <v>6.1</v>
      </c>
      <c r="B251" s="17" t="s">
        <v>86</v>
      </c>
      <c r="C251" s="286" t="s">
        <v>64</v>
      </c>
      <c r="D251" s="61">
        <v>5</v>
      </c>
      <c r="E251" s="243">
        <v>607296</v>
      </c>
      <c r="F251" s="187">
        <f t="shared" si="21"/>
        <v>3036480</v>
      </c>
    </row>
    <row r="252" spans="1:6" ht="29.25" x14ac:dyDescent="0.25">
      <c r="A252" s="222">
        <v>6.2</v>
      </c>
      <c r="B252" s="17" t="s">
        <v>50</v>
      </c>
      <c r="C252" s="286" t="s">
        <v>64</v>
      </c>
      <c r="D252" s="61">
        <v>22.5</v>
      </c>
      <c r="E252" s="243">
        <v>824735</v>
      </c>
      <c r="F252" s="187">
        <f t="shared" si="21"/>
        <v>18556538</v>
      </c>
    </row>
    <row r="253" spans="1:6" x14ac:dyDescent="0.25">
      <c r="A253" s="219">
        <v>7</v>
      </c>
      <c r="B253" s="188" t="s">
        <v>51</v>
      </c>
      <c r="C253" s="20"/>
      <c r="D253" s="20"/>
      <c r="E253" s="243"/>
      <c r="F253" s="187"/>
    </row>
    <row r="254" spans="1:6" x14ac:dyDescent="0.25">
      <c r="A254" s="222">
        <v>7.1</v>
      </c>
      <c r="B254" s="17" t="s">
        <v>88</v>
      </c>
      <c r="C254" s="286" t="s">
        <v>53</v>
      </c>
      <c r="D254" s="61">
        <v>50</v>
      </c>
      <c r="E254" s="243">
        <v>5922</v>
      </c>
      <c r="F254" s="187">
        <f t="shared" si="21"/>
        <v>296100</v>
      </c>
    </row>
    <row r="255" spans="1:6" x14ac:dyDescent="0.25">
      <c r="A255" s="219"/>
      <c r="B255" s="18" t="s">
        <v>56</v>
      </c>
      <c r="C255" s="54"/>
      <c r="D255" s="130"/>
      <c r="E255" s="28"/>
      <c r="F255" s="28">
        <f>SUM(F233:F254)</f>
        <v>53005078</v>
      </c>
    </row>
    <row r="256" spans="1:6" x14ac:dyDescent="0.25">
      <c r="A256" s="19"/>
      <c r="B256" s="19" t="s">
        <v>60</v>
      </c>
      <c r="C256" s="19"/>
      <c r="D256" s="19"/>
      <c r="E256" s="19"/>
      <c r="F256" s="29">
        <f>ROUND(F255/1.3495,0)</f>
        <v>39277568</v>
      </c>
    </row>
    <row r="257" spans="1:6" x14ac:dyDescent="0.25">
      <c r="A257" s="19"/>
      <c r="B257" s="19" t="s">
        <v>61</v>
      </c>
      <c r="C257" s="131">
        <v>0.24</v>
      </c>
      <c r="D257" s="19"/>
      <c r="E257" s="19"/>
      <c r="F257" s="29">
        <f>ROUND(F256*C257,0)</f>
        <v>9426616</v>
      </c>
    </row>
    <row r="258" spans="1:6" x14ac:dyDescent="0.25">
      <c r="A258" s="19"/>
      <c r="B258" s="19" t="s">
        <v>57</v>
      </c>
      <c r="C258" s="131">
        <v>0.05</v>
      </c>
      <c r="D258" s="19"/>
      <c r="E258" s="19"/>
      <c r="F258" s="29">
        <f>ROUND(F256*C258,0)</f>
        <v>1963878</v>
      </c>
    </row>
    <row r="259" spans="1:6" x14ac:dyDescent="0.25">
      <c r="A259" s="19"/>
      <c r="B259" s="19" t="s">
        <v>62</v>
      </c>
      <c r="C259" s="131">
        <v>0.05</v>
      </c>
      <c r="D259" s="19"/>
      <c r="E259" s="19"/>
      <c r="F259" s="29">
        <f>ROUND(F256*C259,0)</f>
        <v>1963878</v>
      </c>
    </row>
    <row r="260" spans="1:6" x14ac:dyDescent="0.25">
      <c r="A260" s="19"/>
      <c r="B260" s="132" t="s">
        <v>63</v>
      </c>
      <c r="C260" s="133">
        <v>0.19</v>
      </c>
      <c r="D260" s="120"/>
      <c r="E260" s="120"/>
      <c r="F260" s="35">
        <f>ROUND(F259*19%,0)</f>
        <v>373137</v>
      </c>
    </row>
    <row r="261" spans="1:6" x14ac:dyDescent="0.25">
      <c r="A261" s="19"/>
      <c r="B261" s="18" t="s">
        <v>56</v>
      </c>
      <c r="C261" s="19"/>
      <c r="D261" s="19"/>
      <c r="E261" s="19"/>
      <c r="F261" s="30">
        <f>SUM(F256:F260)</f>
        <v>53005077</v>
      </c>
    </row>
    <row r="262" spans="1:6" x14ac:dyDescent="0.25">
      <c r="A262" s="81"/>
      <c r="B262" s="81"/>
      <c r="C262" s="81"/>
      <c r="D262" s="81"/>
      <c r="E262" s="81"/>
      <c r="F262" s="81"/>
    </row>
    <row r="263" spans="1:6" x14ac:dyDescent="0.25">
      <c r="A263" s="422" t="s">
        <v>511</v>
      </c>
      <c r="B263" s="422"/>
      <c r="C263" s="422"/>
      <c r="D263" s="422"/>
      <c r="E263" s="422"/>
      <c r="F263" s="422"/>
    </row>
    <row r="264" spans="1:6" x14ac:dyDescent="0.25">
      <c r="A264" s="420" t="s">
        <v>10</v>
      </c>
      <c r="B264" s="420" t="s">
        <v>0</v>
      </c>
      <c r="C264" s="420" t="s">
        <v>11</v>
      </c>
      <c r="D264" s="420" t="s">
        <v>12</v>
      </c>
      <c r="E264" s="420"/>
      <c r="F264" s="420"/>
    </row>
    <row r="265" spans="1:6" x14ac:dyDescent="0.25">
      <c r="A265" s="420"/>
      <c r="B265" s="420"/>
      <c r="C265" s="420"/>
      <c r="D265" s="54" t="s">
        <v>13</v>
      </c>
      <c r="E265" s="54" t="s">
        <v>14</v>
      </c>
      <c r="F265" s="54" t="s">
        <v>15</v>
      </c>
    </row>
    <row r="266" spans="1:6" x14ac:dyDescent="0.25">
      <c r="A266" s="219">
        <v>1</v>
      </c>
      <c r="B266" s="18" t="s">
        <v>16</v>
      </c>
      <c r="C266" s="420"/>
      <c r="D266" s="420"/>
      <c r="E266" s="420"/>
      <c r="F266" s="20"/>
    </row>
    <row r="267" spans="1:6" ht="29.25" x14ac:dyDescent="0.25">
      <c r="A267" s="222">
        <v>1.1000000000000001</v>
      </c>
      <c r="B267" s="17" t="s">
        <v>77</v>
      </c>
      <c r="C267" s="286" t="s">
        <v>18</v>
      </c>
      <c r="D267" s="61">
        <v>188</v>
      </c>
      <c r="E267" s="243">
        <v>5230</v>
      </c>
      <c r="F267" s="187">
        <f t="shared" ref="F267:F288" si="22">ROUND(D267*E267,0)</f>
        <v>983240</v>
      </c>
    </row>
    <row r="268" spans="1:6" ht="28.5" x14ac:dyDescent="0.25">
      <c r="A268" s="222">
        <v>1.2</v>
      </c>
      <c r="B268" s="9" t="s">
        <v>879</v>
      </c>
      <c r="C268" s="286" t="s">
        <v>18</v>
      </c>
      <c r="D268" s="61">
        <v>380</v>
      </c>
      <c r="E268" s="242">
        <v>9600</v>
      </c>
      <c r="F268" s="187">
        <f t="shared" si="22"/>
        <v>3648000</v>
      </c>
    </row>
    <row r="269" spans="1:6" x14ac:dyDescent="0.25">
      <c r="A269" s="222">
        <v>1.3</v>
      </c>
      <c r="B269" s="17" t="s">
        <v>22</v>
      </c>
      <c r="C269" s="286" t="s">
        <v>23</v>
      </c>
      <c r="D269" s="61">
        <v>4</v>
      </c>
      <c r="E269" s="243">
        <v>155814</v>
      </c>
      <c r="F269" s="187">
        <f t="shared" si="22"/>
        <v>623256</v>
      </c>
    </row>
    <row r="270" spans="1:6" x14ac:dyDescent="0.25">
      <c r="A270" s="219">
        <v>2</v>
      </c>
      <c r="B270" s="188" t="s">
        <v>25</v>
      </c>
      <c r="C270" s="20"/>
      <c r="D270" s="20"/>
      <c r="E270" s="243"/>
      <c r="F270" s="187"/>
    </row>
    <row r="271" spans="1:6" x14ac:dyDescent="0.25">
      <c r="A271" s="222">
        <v>2.1</v>
      </c>
      <c r="B271" s="56" t="s">
        <v>26</v>
      </c>
      <c r="C271" s="286" t="s">
        <v>18</v>
      </c>
      <c r="D271" s="61">
        <v>377</v>
      </c>
      <c r="E271" s="243">
        <v>7652</v>
      </c>
      <c r="F271" s="187">
        <f t="shared" si="22"/>
        <v>2884804</v>
      </c>
    </row>
    <row r="272" spans="1:6" ht="43.5" x14ac:dyDescent="0.25">
      <c r="A272" s="222">
        <v>2.2000000000000002</v>
      </c>
      <c r="B272" s="17" t="s">
        <v>78</v>
      </c>
      <c r="C272" s="286" t="s">
        <v>64</v>
      </c>
      <c r="D272" s="61">
        <v>15.5</v>
      </c>
      <c r="E272" s="243">
        <v>83560</v>
      </c>
      <c r="F272" s="187">
        <f t="shared" si="22"/>
        <v>1295180</v>
      </c>
    </row>
    <row r="273" spans="1:6" x14ac:dyDescent="0.25">
      <c r="A273" s="219">
        <v>3</v>
      </c>
      <c r="B273" s="188" t="s">
        <v>28</v>
      </c>
      <c r="C273" s="20"/>
      <c r="D273" s="20"/>
      <c r="E273" s="243"/>
      <c r="F273" s="187"/>
    </row>
    <row r="274" spans="1:6" x14ac:dyDescent="0.25">
      <c r="A274" s="222">
        <v>3.1</v>
      </c>
      <c r="B274" s="17" t="s">
        <v>79</v>
      </c>
      <c r="C274" s="286" t="s">
        <v>64</v>
      </c>
      <c r="D274" s="61">
        <v>115</v>
      </c>
      <c r="E274" s="243">
        <v>26395</v>
      </c>
      <c r="F274" s="187">
        <f t="shared" si="22"/>
        <v>3035425</v>
      </c>
    </row>
    <row r="275" spans="1:6" ht="29.25" x14ac:dyDescent="0.25">
      <c r="A275" s="222">
        <v>3.2</v>
      </c>
      <c r="B275" s="17" t="s">
        <v>32</v>
      </c>
      <c r="C275" s="286" t="s">
        <v>64</v>
      </c>
      <c r="D275" s="61">
        <v>20</v>
      </c>
      <c r="E275" s="243">
        <v>32848</v>
      </c>
      <c r="F275" s="187">
        <f t="shared" si="22"/>
        <v>656960</v>
      </c>
    </row>
    <row r="276" spans="1:6" x14ac:dyDescent="0.25">
      <c r="A276" s="219">
        <v>4</v>
      </c>
      <c r="B276" s="188" t="s">
        <v>80</v>
      </c>
      <c r="C276" s="20"/>
      <c r="D276" s="20"/>
      <c r="E276" s="243"/>
      <c r="F276" s="187"/>
    </row>
    <row r="277" spans="1:6" x14ac:dyDescent="0.25">
      <c r="A277" s="222">
        <v>4.0999999999999996</v>
      </c>
      <c r="B277" s="17" t="s">
        <v>92</v>
      </c>
      <c r="C277" s="286" t="s">
        <v>18</v>
      </c>
      <c r="D277" s="61">
        <v>188</v>
      </c>
      <c r="E277" s="243">
        <f>2*1720</f>
        <v>3440</v>
      </c>
      <c r="F277" s="187">
        <f t="shared" si="22"/>
        <v>646720</v>
      </c>
    </row>
    <row r="278" spans="1:6" ht="29.25" x14ac:dyDescent="0.25">
      <c r="A278" s="222">
        <v>4.2</v>
      </c>
      <c r="B278" s="17" t="s">
        <v>82</v>
      </c>
      <c r="C278" s="286" t="s">
        <v>37</v>
      </c>
      <c r="D278" s="61">
        <v>20</v>
      </c>
      <c r="E278" s="243">
        <v>42039</v>
      </c>
      <c r="F278" s="187">
        <f t="shared" si="22"/>
        <v>840780</v>
      </c>
    </row>
    <row r="279" spans="1:6" x14ac:dyDescent="0.25">
      <c r="A279" s="222">
        <v>4.3</v>
      </c>
      <c r="B279" s="17" t="s">
        <v>85</v>
      </c>
      <c r="C279" s="286" t="s">
        <v>23</v>
      </c>
      <c r="D279" s="61">
        <v>4</v>
      </c>
      <c r="E279" s="243">
        <v>90583</v>
      </c>
      <c r="F279" s="187">
        <f t="shared" si="22"/>
        <v>362332</v>
      </c>
    </row>
    <row r="280" spans="1:6" x14ac:dyDescent="0.25">
      <c r="A280" s="219">
        <v>5</v>
      </c>
      <c r="B280" s="188" t="s">
        <v>43</v>
      </c>
      <c r="C280" s="20"/>
      <c r="D280" s="20"/>
      <c r="E280" s="243"/>
      <c r="F280" s="187"/>
    </row>
    <row r="281" spans="1:6" x14ac:dyDescent="0.25">
      <c r="A281" s="222">
        <v>5.0999999999999996</v>
      </c>
      <c r="B281" s="17" t="s">
        <v>44</v>
      </c>
      <c r="C281" s="286" t="s">
        <v>64</v>
      </c>
      <c r="D281" s="61">
        <v>6</v>
      </c>
      <c r="E281" s="243">
        <v>121019</v>
      </c>
      <c r="F281" s="187">
        <f t="shared" si="22"/>
        <v>726114</v>
      </c>
    </row>
    <row r="282" spans="1:6" ht="29.25" x14ac:dyDescent="0.25">
      <c r="A282" s="222">
        <v>5.2</v>
      </c>
      <c r="B282" s="17" t="s">
        <v>45</v>
      </c>
      <c r="C282" s="286" t="s">
        <v>64</v>
      </c>
      <c r="D282" s="61">
        <v>98</v>
      </c>
      <c r="E282" s="243">
        <v>22197</v>
      </c>
      <c r="F282" s="187">
        <f t="shared" si="22"/>
        <v>2175306</v>
      </c>
    </row>
    <row r="283" spans="1:6" x14ac:dyDescent="0.25">
      <c r="A283" s="222">
        <v>5.3</v>
      </c>
      <c r="B283" s="17" t="s">
        <v>273</v>
      </c>
      <c r="C283" s="286" t="s">
        <v>64</v>
      </c>
      <c r="D283" s="61">
        <v>16</v>
      </c>
      <c r="E283" s="243">
        <v>145281</v>
      </c>
      <c r="F283" s="187">
        <f t="shared" si="22"/>
        <v>2324496</v>
      </c>
    </row>
    <row r="284" spans="1:6" x14ac:dyDescent="0.25">
      <c r="A284" s="219">
        <v>6</v>
      </c>
      <c r="B284" s="188" t="s">
        <v>48</v>
      </c>
      <c r="C284" s="20"/>
      <c r="D284" s="20"/>
      <c r="E284" s="243"/>
      <c r="F284" s="187"/>
    </row>
    <row r="285" spans="1:6" ht="29.25" x14ac:dyDescent="0.25">
      <c r="A285" s="222">
        <v>6.1</v>
      </c>
      <c r="B285" s="17" t="s">
        <v>86</v>
      </c>
      <c r="C285" s="286" t="s">
        <v>64</v>
      </c>
      <c r="D285" s="61">
        <v>5</v>
      </c>
      <c r="E285" s="243">
        <v>607296</v>
      </c>
      <c r="F285" s="187">
        <f t="shared" si="22"/>
        <v>3036480</v>
      </c>
    </row>
    <row r="286" spans="1:6" ht="29.25" x14ac:dyDescent="0.25">
      <c r="A286" s="222">
        <v>6.2</v>
      </c>
      <c r="B286" s="17" t="s">
        <v>50</v>
      </c>
      <c r="C286" s="286" t="s">
        <v>64</v>
      </c>
      <c r="D286" s="61">
        <v>16</v>
      </c>
      <c r="E286" s="243">
        <v>824735</v>
      </c>
      <c r="F286" s="187">
        <f t="shared" si="22"/>
        <v>13195760</v>
      </c>
    </row>
    <row r="287" spans="1:6" x14ac:dyDescent="0.25">
      <c r="A287" s="219">
        <v>7</v>
      </c>
      <c r="B287" s="188" t="s">
        <v>51</v>
      </c>
      <c r="C287" s="20"/>
      <c r="D287" s="20"/>
      <c r="E287" s="243"/>
      <c r="F287" s="187"/>
    </row>
    <row r="288" spans="1:6" x14ac:dyDescent="0.25">
      <c r="A288" s="222">
        <v>7.1</v>
      </c>
      <c r="B288" s="17" t="s">
        <v>88</v>
      </c>
      <c r="C288" s="286" t="s">
        <v>53</v>
      </c>
      <c r="D288" s="61">
        <v>50</v>
      </c>
      <c r="E288" s="243">
        <v>5922</v>
      </c>
      <c r="F288" s="187">
        <f t="shared" si="22"/>
        <v>296100</v>
      </c>
    </row>
    <row r="289" spans="1:10" x14ac:dyDescent="0.25">
      <c r="A289" s="219"/>
      <c r="B289" s="18" t="s">
        <v>56</v>
      </c>
      <c r="C289" s="54"/>
      <c r="D289" s="130"/>
      <c r="E289" s="28"/>
      <c r="F289" s="28">
        <f>SUM(F267:F288)</f>
        <v>36730953</v>
      </c>
    </row>
    <row r="290" spans="1:10" x14ac:dyDescent="0.25">
      <c r="A290" s="19"/>
      <c r="B290" s="19" t="s">
        <v>60</v>
      </c>
      <c r="C290" s="19"/>
      <c r="D290" s="19"/>
      <c r="E290" s="19"/>
      <c r="F290" s="29">
        <f>ROUND(F289/1.3495,0)</f>
        <v>27218194</v>
      </c>
    </row>
    <row r="291" spans="1:10" x14ac:dyDescent="0.25">
      <c r="A291" s="19"/>
      <c r="B291" s="19" t="s">
        <v>61</v>
      </c>
      <c r="C291" s="131">
        <v>0.24</v>
      </c>
      <c r="D291" s="19"/>
      <c r="E291" s="19"/>
      <c r="F291" s="29">
        <f>ROUND(F290*C291,0)</f>
        <v>6532367</v>
      </c>
    </row>
    <row r="292" spans="1:10" x14ac:dyDescent="0.25">
      <c r="A292" s="19"/>
      <c r="B292" s="19" t="s">
        <v>57</v>
      </c>
      <c r="C292" s="131">
        <v>0.05</v>
      </c>
      <c r="D292" s="19"/>
      <c r="E292" s="19"/>
      <c r="F292" s="29">
        <f>ROUND(F290*C292,0)</f>
        <v>1360910</v>
      </c>
    </row>
    <row r="293" spans="1:10" x14ac:dyDescent="0.25">
      <c r="A293" s="19"/>
      <c r="B293" s="19" t="s">
        <v>62</v>
      </c>
      <c r="C293" s="131">
        <v>0.05</v>
      </c>
      <c r="D293" s="19"/>
      <c r="E293" s="19"/>
      <c r="F293" s="29">
        <f>ROUND(F290*C293,0)</f>
        <v>1360910</v>
      </c>
    </row>
    <row r="294" spans="1:10" x14ac:dyDescent="0.25">
      <c r="A294" s="19"/>
      <c r="B294" s="132" t="s">
        <v>63</v>
      </c>
      <c r="C294" s="133">
        <v>0.19</v>
      </c>
      <c r="D294" s="120"/>
      <c r="E294" s="120"/>
      <c r="F294" s="35">
        <f>ROUND(F293*19%,0)</f>
        <v>258573</v>
      </c>
    </row>
    <row r="295" spans="1:10" x14ac:dyDescent="0.25">
      <c r="A295" s="19"/>
      <c r="B295" s="18" t="s">
        <v>56</v>
      </c>
      <c r="C295" s="19"/>
      <c r="D295" s="19"/>
      <c r="E295" s="19"/>
      <c r="F295" s="30">
        <f>SUM(F290:F294)</f>
        <v>36730954</v>
      </c>
    </row>
    <row r="296" spans="1:10" x14ac:dyDescent="0.25">
      <c r="A296" s="81"/>
      <c r="B296" s="81"/>
      <c r="C296" s="81"/>
      <c r="D296" s="81"/>
      <c r="E296" s="81"/>
      <c r="F296" s="81"/>
    </row>
    <row r="297" spans="1:10" ht="70.5" customHeight="1" thickBot="1" x14ac:dyDescent="0.3">
      <c r="A297" s="485" t="s">
        <v>974</v>
      </c>
      <c r="B297" s="486"/>
      <c r="C297" s="486"/>
      <c r="D297" s="486"/>
      <c r="E297" s="486"/>
      <c r="F297" s="487"/>
    </row>
    <row r="298" spans="1:10" x14ac:dyDescent="0.25">
      <c r="A298" s="320" t="s">
        <v>421</v>
      </c>
      <c r="B298" s="320" t="s">
        <v>422</v>
      </c>
      <c r="C298" s="320" t="s">
        <v>423</v>
      </c>
      <c r="D298" s="320" t="s">
        <v>13</v>
      </c>
      <c r="E298" s="320" t="s">
        <v>424</v>
      </c>
      <c r="F298" s="320" t="s">
        <v>425</v>
      </c>
    </row>
    <row r="299" spans="1:10" x14ac:dyDescent="0.25">
      <c r="A299" s="286" t="s">
        <v>338</v>
      </c>
      <c r="B299" s="11" t="s">
        <v>16</v>
      </c>
      <c r="C299" s="286"/>
      <c r="D299" s="177"/>
      <c r="E299" s="178"/>
      <c r="F299" s="178"/>
    </row>
    <row r="300" spans="1:10" ht="43.5" x14ac:dyDescent="0.25">
      <c r="A300" s="286" t="s">
        <v>339</v>
      </c>
      <c r="B300" s="13" t="s">
        <v>340</v>
      </c>
      <c r="C300" s="222" t="s">
        <v>341</v>
      </c>
      <c r="D300" s="186">
        <v>103</v>
      </c>
      <c r="E300" s="187">
        <v>7564</v>
      </c>
      <c r="F300" s="187">
        <f>ROUND(D300*E300,0)</f>
        <v>779092</v>
      </c>
      <c r="J300" s="53"/>
    </row>
    <row r="301" spans="1:10" ht="43.5" x14ac:dyDescent="0.25">
      <c r="A301" s="286" t="s">
        <v>342</v>
      </c>
      <c r="B301" s="13" t="s">
        <v>343</v>
      </c>
      <c r="C301" s="222" t="s">
        <v>341</v>
      </c>
      <c r="D301" s="186">
        <v>217.4</v>
      </c>
      <c r="E301" s="187">
        <v>12418</v>
      </c>
      <c r="F301" s="187">
        <f>ROUND(D301*E301,0)</f>
        <v>2699673</v>
      </c>
      <c r="J301" s="84"/>
    </row>
    <row r="302" spans="1:10" ht="43.5" x14ac:dyDescent="0.25">
      <c r="A302" s="286" t="s">
        <v>344</v>
      </c>
      <c r="B302" s="13" t="s">
        <v>345</v>
      </c>
      <c r="C302" s="222" t="s">
        <v>125</v>
      </c>
      <c r="D302" s="186">
        <v>4</v>
      </c>
      <c r="E302" s="187">
        <v>243668</v>
      </c>
      <c r="F302" s="187">
        <f>ROUND(D302*E302,0)</f>
        <v>974672</v>
      </c>
    </row>
    <row r="303" spans="1:10" x14ac:dyDescent="0.25">
      <c r="A303" s="286">
        <v>2</v>
      </c>
      <c r="B303" s="11" t="s">
        <v>347</v>
      </c>
      <c r="C303" s="222"/>
      <c r="D303" s="186"/>
      <c r="E303" s="187" t="s">
        <v>1</v>
      </c>
      <c r="F303" s="187"/>
    </row>
    <row r="304" spans="1:10" x14ac:dyDescent="0.25">
      <c r="A304" s="286" t="s">
        <v>348</v>
      </c>
      <c r="B304" s="19" t="s">
        <v>349</v>
      </c>
      <c r="C304" s="222" t="s">
        <v>115</v>
      </c>
      <c r="D304" s="186">
        <v>0.5</v>
      </c>
      <c r="E304" s="187">
        <v>141463</v>
      </c>
      <c r="F304" s="187">
        <f>ROUND(D304*E304,0)</f>
        <v>70732</v>
      </c>
    </row>
    <row r="305" spans="1:10" ht="29.25" x14ac:dyDescent="0.25">
      <c r="A305" s="286">
        <v>2.2000000000000002</v>
      </c>
      <c r="B305" s="13" t="s">
        <v>350</v>
      </c>
      <c r="C305" s="222" t="s">
        <v>115</v>
      </c>
      <c r="D305" s="186">
        <v>1.1000000000000001</v>
      </c>
      <c r="E305" s="187">
        <v>114584</v>
      </c>
      <c r="F305" s="187">
        <f>ROUND(D305*E305,0)</f>
        <v>126042</v>
      </c>
    </row>
    <row r="306" spans="1:10" ht="29.25" x14ac:dyDescent="0.25">
      <c r="A306" s="286" t="s">
        <v>351</v>
      </c>
      <c r="B306" s="13" t="s">
        <v>464</v>
      </c>
      <c r="C306" s="222" t="s">
        <v>115</v>
      </c>
      <c r="D306" s="186">
        <v>0.55000000000000004</v>
      </c>
      <c r="E306" s="187">
        <v>107656</v>
      </c>
      <c r="F306" s="187">
        <f>ROUND(D306*E306,0)</f>
        <v>59211</v>
      </c>
    </row>
    <row r="307" spans="1:10" ht="29.25" x14ac:dyDescent="0.25">
      <c r="A307" s="286" t="s">
        <v>515</v>
      </c>
      <c r="B307" s="17" t="s">
        <v>516</v>
      </c>
      <c r="C307" s="222" t="s">
        <v>115</v>
      </c>
      <c r="D307" s="186">
        <v>13.53</v>
      </c>
      <c r="E307" s="187">
        <v>114583</v>
      </c>
      <c r="F307" s="187">
        <f>ROUND(D307*E307,0)</f>
        <v>1550308</v>
      </c>
    </row>
    <row r="308" spans="1:10" x14ac:dyDescent="0.25">
      <c r="A308" s="286">
        <v>3</v>
      </c>
      <c r="B308" s="179" t="s">
        <v>353</v>
      </c>
      <c r="C308" s="222"/>
      <c r="D308" s="186"/>
      <c r="E308" s="187" t="s">
        <v>1</v>
      </c>
      <c r="F308" s="187"/>
    </row>
    <row r="309" spans="1:10" ht="29.25" x14ac:dyDescent="0.25">
      <c r="A309" s="286" t="s">
        <v>354</v>
      </c>
      <c r="B309" s="13" t="s">
        <v>355</v>
      </c>
      <c r="C309" s="222" t="s">
        <v>115</v>
      </c>
      <c r="D309" s="186">
        <v>107.65</v>
      </c>
      <c r="E309" s="187">
        <v>36541</v>
      </c>
      <c r="F309" s="187">
        <f>ROUND(D309*E309,0)</f>
        <v>3933639</v>
      </c>
    </row>
    <row r="310" spans="1:10" x14ac:dyDescent="0.25">
      <c r="A310" s="286">
        <v>4</v>
      </c>
      <c r="B310" s="179" t="s">
        <v>356</v>
      </c>
      <c r="C310" s="222"/>
      <c r="D310" s="186"/>
      <c r="E310" s="187" t="s">
        <v>1</v>
      </c>
      <c r="F310" s="187"/>
    </row>
    <row r="311" spans="1:10" ht="29.25" x14ac:dyDescent="0.25">
      <c r="A311" s="286" t="s">
        <v>357</v>
      </c>
      <c r="B311" s="13" t="s">
        <v>517</v>
      </c>
      <c r="C311" s="222" t="s">
        <v>115</v>
      </c>
      <c r="D311" s="186">
        <v>177.6</v>
      </c>
      <c r="E311" s="187">
        <v>30196</v>
      </c>
      <c r="F311" s="187">
        <f>ROUND(D311*E311,0)</f>
        <v>5362810</v>
      </c>
    </row>
    <row r="312" spans="1:10" x14ac:dyDescent="0.25">
      <c r="A312" s="286">
        <v>4.2</v>
      </c>
      <c r="B312" s="13" t="s">
        <v>518</v>
      </c>
      <c r="C312" s="222" t="s">
        <v>115</v>
      </c>
      <c r="D312" s="186">
        <v>28.19</v>
      </c>
      <c r="E312" s="187">
        <v>35903</v>
      </c>
      <c r="F312" s="187">
        <f>ROUND(D312*E312,0)</f>
        <v>1012106</v>
      </c>
    </row>
    <row r="313" spans="1:10" x14ac:dyDescent="0.25">
      <c r="A313" s="286">
        <v>4.3</v>
      </c>
      <c r="B313" s="13" t="s">
        <v>407</v>
      </c>
      <c r="C313" s="222" t="s">
        <v>18</v>
      </c>
      <c r="D313" s="186">
        <v>40</v>
      </c>
      <c r="E313" s="187">
        <v>34497</v>
      </c>
      <c r="F313" s="187">
        <f>ROUND(D313*E313,0)</f>
        <v>1379880</v>
      </c>
    </row>
    <row r="314" spans="1:10" x14ac:dyDescent="0.25">
      <c r="A314" s="286">
        <v>5</v>
      </c>
      <c r="B314" s="179" t="s">
        <v>361</v>
      </c>
      <c r="C314" s="222"/>
      <c r="D314" s="186"/>
      <c r="E314" s="187" t="s">
        <v>1</v>
      </c>
      <c r="F314" s="187"/>
    </row>
    <row r="315" spans="1:10" ht="29.25" x14ac:dyDescent="0.25">
      <c r="A315" s="286" t="s">
        <v>362</v>
      </c>
      <c r="B315" s="13" t="s">
        <v>363</v>
      </c>
      <c r="C315" s="222" t="s">
        <v>115</v>
      </c>
      <c r="D315" s="186">
        <v>136.22999999999999</v>
      </c>
      <c r="E315" s="187">
        <v>24785</v>
      </c>
      <c r="F315" s="187">
        <f>ROUND(D315*E315,0)</f>
        <v>3376461</v>
      </c>
    </row>
    <row r="316" spans="1:10" ht="29.25" x14ac:dyDescent="0.25">
      <c r="A316" s="286" t="s">
        <v>364</v>
      </c>
      <c r="B316" s="13" t="s">
        <v>365</v>
      </c>
      <c r="C316" s="222" t="s">
        <v>115</v>
      </c>
      <c r="D316" s="186">
        <v>28.19</v>
      </c>
      <c r="E316" s="187">
        <v>106445</v>
      </c>
      <c r="F316" s="187">
        <f>ROUND(D316*E316,0)</f>
        <v>3000685</v>
      </c>
    </row>
    <row r="317" spans="1:10" ht="30" x14ac:dyDescent="0.25">
      <c r="A317" s="286">
        <v>6</v>
      </c>
      <c r="B317" s="179" t="s">
        <v>366</v>
      </c>
      <c r="C317" s="222"/>
      <c r="D317" s="186"/>
      <c r="E317" s="187">
        <v>0</v>
      </c>
      <c r="F317" s="187"/>
    </row>
    <row r="318" spans="1:10" ht="29.25" x14ac:dyDescent="0.25">
      <c r="A318" s="286" t="s">
        <v>367</v>
      </c>
      <c r="B318" s="13" t="s">
        <v>368</v>
      </c>
      <c r="C318" s="222" t="s">
        <v>115</v>
      </c>
      <c r="D318" s="186">
        <v>0.55000000000000004</v>
      </c>
      <c r="E318" s="187">
        <v>99425</v>
      </c>
      <c r="F318" s="187">
        <f>ROUND(D318*E318,0)</f>
        <v>54684</v>
      </c>
    </row>
    <row r="319" spans="1:10" ht="43.5" x14ac:dyDescent="0.25">
      <c r="A319" s="286">
        <v>6.2</v>
      </c>
      <c r="B319" s="13" t="s">
        <v>519</v>
      </c>
      <c r="C319" s="222" t="s">
        <v>115</v>
      </c>
      <c r="D319" s="186">
        <v>22.25</v>
      </c>
      <c r="E319" s="187">
        <v>190032</v>
      </c>
      <c r="F319" s="187">
        <f>ROUND(D319*E319,0)</f>
        <v>4228212</v>
      </c>
      <c r="J319" s="84"/>
    </row>
    <row r="320" spans="1:10" ht="29.25" x14ac:dyDescent="0.25">
      <c r="A320" s="286">
        <v>6.3</v>
      </c>
      <c r="B320" s="13" t="s">
        <v>370</v>
      </c>
      <c r="C320" s="222" t="s">
        <v>115</v>
      </c>
      <c r="D320" s="186">
        <v>41.37</v>
      </c>
      <c r="E320" s="187">
        <v>100848</v>
      </c>
      <c r="F320" s="187">
        <f>ROUND(D320*E320,0)</f>
        <v>4172082</v>
      </c>
      <c r="J320" s="84"/>
    </row>
    <row r="321" spans="1:10" x14ac:dyDescent="0.25">
      <c r="A321" s="286">
        <v>7</v>
      </c>
      <c r="B321" s="179" t="s">
        <v>371</v>
      </c>
      <c r="C321" s="222"/>
      <c r="D321" s="186"/>
      <c r="E321" s="187" t="s">
        <v>1</v>
      </c>
      <c r="F321" s="187"/>
      <c r="J321" s="84"/>
    </row>
    <row r="322" spans="1:10" ht="43.5" x14ac:dyDescent="0.25">
      <c r="A322" s="286" t="s">
        <v>372</v>
      </c>
      <c r="B322" s="13" t="s">
        <v>520</v>
      </c>
      <c r="C322" s="222" t="s">
        <v>18</v>
      </c>
      <c r="D322" s="186">
        <v>50.6</v>
      </c>
      <c r="E322" s="187">
        <v>13960</v>
      </c>
      <c r="F322" s="187">
        <f t="shared" ref="F322:F330" si="23">ROUND(D322*E322,0)</f>
        <v>706376</v>
      </c>
      <c r="J322" s="84"/>
    </row>
    <row r="323" spans="1:10" ht="43.5" x14ac:dyDescent="0.25">
      <c r="A323" s="286">
        <v>7.2</v>
      </c>
      <c r="B323" s="13" t="s">
        <v>521</v>
      </c>
      <c r="C323" s="222" t="s">
        <v>18</v>
      </c>
      <c r="D323" s="186">
        <v>12</v>
      </c>
      <c r="E323" s="187">
        <v>22867</v>
      </c>
      <c r="F323" s="187">
        <f t="shared" si="23"/>
        <v>274404</v>
      </c>
      <c r="J323" s="84"/>
    </row>
    <row r="324" spans="1:10" ht="43.5" x14ac:dyDescent="0.25">
      <c r="A324" s="286" t="s">
        <v>374</v>
      </c>
      <c r="B324" s="13" t="s">
        <v>522</v>
      </c>
      <c r="C324" s="222" t="s">
        <v>18</v>
      </c>
      <c r="D324" s="186">
        <v>103</v>
      </c>
      <c r="E324" s="187">
        <v>27441</v>
      </c>
      <c r="F324" s="187">
        <f t="shared" si="23"/>
        <v>2826423</v>
      </c>
      <c r="J324" s="84"/>
    </row>
    <row r="325" spans="1:10" ht="29.25" x14ac:dyDescent="0.25">
      <c r="A325" s="286" t="s">
        <v>376</v>
      </c>
      <c r="B325" s="13" t="s">
        <v>377</v>
      </c>
      <c r="C325" s="222" t="s">
        <v>125</v>
      </c>
      <c r="D325" s="186">
        <v>4</v>
      </c>
      <c r="E325" s="187">
        <v>103880</v>
      </c>
      <c r="F325" s="187">
        <f t="shared" si="23"/>
        <v>415520</v>
      </c>
      <c r="J325" s="84"/>
    </row>
    <row r="326" spans="1:10" ht="29.25" x14ac:dyDescent="0.25">
      <c r="A326" s="286" t="s">
        <v>378</v>
      </c>
      <c r="B326" s="13" t="s">
        <v>379</v>
      </c>
      <c r="C326" s="222" t="s">
        <v>125</v>
      </c>
      <c r="D326" s="186">
        <v>5</v>
      </c>
      <c r="E326" s="187">
        <v>62174</v>
      </c>
      <c r="F326" s="187">
        <f t="shared" si="23"/>
        <v>310870</v>
      </c>
      <c r="J326" s="84"/>
    </row>
    <row r="327" spans="1:10" ht="29.25" x14ac:dyDescent="0.25">
      <c r="A327" s="286" t="s">
        <v>382</v>
      </c>
      <c r="B327" s="13" t="s">
        <v>383</v>
      </c>
      <c r="C327" s="222" t="s">
        <v>125</v>
      </c>
      <c r="D327" s="186">
        <v>2</v>
      </c>
      <c r="E327" s="187">
        <v>605385</v>
      </c>
      <c r="F327" s="187">
        <f t="shared" si="23"/>
        <v>1210770</v>
      </c>
      <c r="J327" s="84"/>
    </row>
    <row r="328" spans="1:10" ht="29.25" x14ac:dyDescent="0.25">
      <c r="A328" s="286" t="s">
        <v>386</v>
      </c>
      <c r="B328" s="13" t="s">
        <v>387</v>
      </c>
      <c r="C328" s="222" t="s">
        <v>23</v>
      </c>
      <c r="D328" s="186">
        <v>11</v>
      </c>
      <c r="E328" s="187">
        <v>419235</v>
      </c>
      <c r="F328" s="187">
        <f t="shared" si="23"/>
        <v>4611585</v>
      </c>
      <c r="J328" s="84"/>
    </row>
    <row r="329" spans="1:10" ht="72" x14ac:dyDescent="0.25">
      <c r="A329" s="286" t="s">
        <v>388</v>
      </c>
      <c r="B329" s="17" t="s">
        <v>389</v>
      </c>
      <c r="C329" s="222" t="s">
        <v>125</v>
      </c>
      <c r="D329" s="186">
        <v>2</v>
      </c>
      <c r="E329" s="187">
        <v>1875342</v>
      </c>
      <c r="F329" s="187">
        <f t="shared" si="23"/>
        <v>3750684</v>
      </c>
      <c r="J329" s="84"/>
    </row>
    <row r="330" spans="1:10" x14ac:dyDescent="0.25">
      <c r="A330" s="286" t="s">
        <v>392</v>
      </c>
      <c r="B330" s="13" t="s">
        <v>393</v>
      </c>
      <c r="C330" s="222" t="s">
        <v>125</v>
      </c>
      <c r="D330" s="186">
        <v>11</v>
      </c>
      <c r="E330" s="187">
        <v>66314</v>
      </c>
      <c r="F330" s="187">
        <f t="shared" si="23"/>
        <v>729454</v>
      </c>
      <c r="J330" s="86"/>
    </row>
    <row r="331" spans="1:10" x14ac:dyDescent="0.25">
      <c r="A331" s="286">
        <v>8</v>
      </c>
      <c r="B331" s="179" t="s">
        <v>394</v>
      </c>
      <c r="C331" s="222"/>
      <c r="D331" s="186"/>
      <c r="E331" s="187">
        <v>0</v>
      </c>
      <c r="F331" s="187"/>
      <c r="J331" s="86"/>
    </row>
    <row r="332" spans="1:10" x14ac:dyDescent="0.25">
      <c r="A332" s="286" t="s">
        <v>395</v>
      </c>
      <c r="B332" s="13" t="s">
        <v>396</v>
      </c>
      <c r="C332" s="222" t="s">
        <v>18</v>
      </c>
      <c r="D332" s="186">
        <v>307.2</v>
      </c>
      <c r="E332" s="187">
        <v>14248</v>
      </c>
      <c r="F332" s="187">
        <f>ROUND(D332*E332,0)</f>
        <v>4376986</v>
      </c>
      <c r="J332" s="86"/>
    </row>
    <row r="333" spans="1:10" ht="42.75" x14ac:dyDescent="0.25">
      <c r="A333" s="286">
        <v>8.3000000000000007</v>
      </c>
      <c r="B333" s="9" t="s">
        <v>513</v>
      </c>
      <c r="C333" s="222" t="s">
        <v>115</v>
      </c>
      <c r="D333" s="186">
        <v>16.91</v>
      </c>
      <c r="E333" s="187">
        <v>867911</v>
      </c>
      <c r="F333" s="187">
        <f>ROUND(D333*E333,0)</f>
        <v>14676375</v>
      </c>
      <c r="J333" s="86"/>
    </row>
    <row r="334" spans="1:10" ht="29.25" x14ac:dyDescent="0.25">
      <c r="A334" s="286">
        <v>8.4</v>
      </c>
      <c r="B334" s="181" t="s">
        <v>400</v>
      </c>
      <c r="C334" s="222" t="s">
        <v>115</v>
      </c>
      <c r="D334" s="186">
        <v>0.55000000000000004</v>
      </c>
      <c r="E334" s="187">
        <v>761635</v>
      </c>
      <c r="F334" s="187">
        <f>ROUND(D334*E334,0)</f>
        <v>418899</v>
      </c>
      <c r="J334" s="86"/>
    </row>
    <row r="335" spans="1:10" ht="42.75" x14ac:dyDescent="0.25">
      <c r="A335" s="286">
        <v>8.5</v>
      </c>
      <c r="B335" s="9" t="s">
        <v>514</v>
      </c>
      <c r="C335" s="222" t="s">
        <v>115</v>
      </c>
      <c r="D335" s="186">
        <v>0.5</v>
      </c>
      <c r="E335" s="187">
        <v>914499</v>
      </c>
      <c r="F335" s="187">
        <f>ROUND(D335*E335,0)</f>
        <v>457250</v>
      </c>
    </row>
    <row r="336" spans="1:10" x14ac:dyDescent="0.25">
      <c r="A336" s="219"/>
      <c r="B336" s="18" t="s">
        <v>56</v>
      </c>
      <c r="C336" s="54"/>
      <c r="D336" s="130"/>
      <c r="E336" s="28"/>
      <c r="F336" s="28">
        <f>SUM(F300:F335)</f>
        <v>67545885</v>
      </c>
      <c r="J336" s="67"/>
    </row>
    <row r="337" spans="1:10" x14ac:dyDescent="0.25">
      <c r="A337" s="19"/>
      <c r="B337" s="19" t="s">
        <v>60</v>
      </c>
      <c r="C337" s="19"/>
      <c r="D337" s="19"/>
      <c r="E337" s="19"/>
      <c r="F337" s="29">
        <f>ROUND(F336/1.3495,0)</f>
        <v>50052527</v>
      </c>
      <c r="J337" s="67"/>
    </row>
    <row r="338" spans="1:10" x14ac:dyDescent="0.25">
      <c r="A338" s="19"/>
      <c r="B338" s="19" t="s">
        <v>61</v>
      </c>
      <c r="C338" s="131">
        <v>0.24</v>
      </c>
      <c r="D338" s="19"/>
      <c r="E338" s="19"/>
      <c r="F338" s="29">
        <f>ROUND(F337*C338,0)</f>
        <v>12012606</v>
      </c>
      <c r="J338" s="67"/>
    </row>
    <row r="339" spans="1:10" x14ac:dyDescent="0.25">
      <c r="A339" s="19"/>
      <c r="B339" s="19" t="s">
        <v>57</v>
      </c>
      <c r="C339" s="131">
        <v>0.05</v>
      </c>
      <c r="D339" s="19"/>
      <c r="E339" s="19"/>
      <c r="F339" s="29">
        <f>ROUND(F337*C339,0)</f>
        <v>2502626</v>
      </c>
      <c r="J339" s="67"/>
    </row>
    <row r="340" spans="1:10" x14ac:dyDescent="0.25">
      <c r="A340" s="19"/>
      <c r="B340" s="19" t="s">
        <v>62</v>
      </c>
      <c r="C340" s="131">
        <v>0.05</v>
      </c>
      <c r="D340" s="19"/>
      <c r="E340" s="19"/>
      <c r="F340" s="29">
        <f>ROUND(F337*C340,0)</f>
        <v>2502626</v>
      </c>
      <c r="J340" s="67"/>
    </row>
    <row r="341" spans="1:10" x14ac:dyDescent="0.25">
      <c r="A341" s="19"/>
      <c r="B341" s="132" t="s">
        <v>63</v>
      </c>
      <c r="C341" s="133">
        <v>0.19</v>
      </c>
      <c r="D341" s="120"/>
      <c r="E341" s="120"/>
      <c r="F341" s="35">
        <f>ROUND(F340*19%,0)</f>
        <v>475499</v>
      </c>
      <c r="J341" s="67"/>
    </row>
    <row r="342" spans="1:10" x14ac:dyDescent="0.25">
      <c r="A342" s="19"/>
      <c r="B342" s="18" t="s">
        <v>56</v>
      </c>
      <c r="C342" s="19"/>
      <c r="D342" s="19"/>
      <c r="E342" s="19"/>
      <c r="F342" s="30">
        <f>SUM(F337:F341)</f>
        <v>67545884</v>
      </c>
      <c r="J342" s="67"/>
    </row>
    <row r="343" spans="1:10" ht="15.75" thickBot="1" x14ac:dyDescent="0.3">
      <c r="A343" s="81"/>
      <c r="B343" s="81"/>
      <c r="C343" s="81"/>
      <c r="D343" s="81"/>
      <c r="E343" s="81"/>
      <c r="F343" s="81"/>
      <c r="J343" s="67"/>
    </row>
    <row r="344" spans="1:10" ht="66.75" customHeight="1" thickBot="1" x14ac:dyDescent="0.3">
      <c r="A344" s="491" t="s">
        <v>975</v>
      </c>
      <c r="B344" s="492"/>
      <c r="C344" s="492"/>
      <c r="D344" s="492"/>
      <c r="E344" s="492"/>
      <c r="F344" s="493"/>
      <c r="J344" s="67"/>
    </row>
    <row r="345" spans="1:10" x14ac:dyDescent="0.25">
      <c r="A345" s="320" t="s">
        <v>421</v>
      </c>
      <c r="B345" s="320" t="s">
        <v>422</v>
      </c>
      <c r="C345" s="320" t="s">
        <v>423</v>
      </c>
      <c r="D345" s="320" t="s">
        <v>13</v>
      </c>
      <c r="E345" s="320" t="s">
        <v>424</v>
      </c>
      <c r="F345" s="320" t="s">
        <v>425</v>
      </c>
      <c r="J345" s="67"/>
    </row>
    <row r="346" spans="1:10" x14ac:dyDescent="0.25">
      <c r="A346" s="286" t="s">
        <v>338</v>
      </c>
      <c r="B346" s="11" t="s">
        <v>16</v>
      </c>
      <c r="C346" s="286"/>
      <c r="D346" s="177"/>
      <c r="E346" s="178"/>
      <c r="F346" s="178"/>
      <c r="J346" s="67"/>
    </row>
    <row r="347" spans="1:10" ht="43.5" x14ac:dyDescent="0.25">
      <c r="A347" s="286" t="s">
        <v>339</v>
      </c>
      <c r="B347" s="13" t="s">
        <v>340</v>
      </c>
      <c r="C347" s="286" t="s">
        <v>341</v>
      </c>
      <c r="D347" s="177">
        <v>92</v>
      </c>
      <c r="E347" s="178">
        <v>7564</v>
      </c>
      <c r="F347" s="187">
        <f t="shared" ref="F347:F382" si="24">ROUND(D347*E347,0)</f>
        <v>695888</v>
      </c>
      <c r="J347" s="87"/>
    </row>
    <row r="348" spans="1:10" ht="43.5" x14ac:dyDescent="0.25">
      <c r="A348" s="286" t="s">
        <v>342</v>
      </c>
      <c r="B348" s="13" t="s">
        <v>343</v>
      </c>
      <c r="C348" s="286" t="s">
        <v>341</v>
      </c>
      <c r="D348" s="177">
        <v>1.72</v>
      </c>
      <c r="E348" s="178">
        <v>12418</v>
      </c>
      <c r="F348" s="187">
        <f t="shared" si="24"/>
        <v>21359</v>
      </c>
      <c r="J348" s="87"/>
    </row>
    <row r="349" spans="1:10" ht="43.5" x14ac:dyDescent="0.25">
      <c r="A349" s="286" t="s">
        <v>344</v>
      </c>
      <c r="B349" s="13" t="s">
        <v>345</v>
      </c>
      <c r="C349" s="286" t="s">
        <v>125</v>
      </c>
      <c r="D349" s="177">
        <v>4</v>
      </c>
      <c r="E349" s="178">
        <v>243668</v>
      </c>
      <c r="F349" s="187">
        <f t="shared" si="24"/>
        <v>974672</v>
      </c>
    </row>
    <row r="350" spans="1:10" x14ac:dyDescent="0.25">
      <c r="A350" s="286">
        <v>2</v>
      </c>
      <c r="B350" s="11" t="s">
        <v>347</v>
      </c>
      <c r="C350" s="286"/>
      <c r="D350" s="177"/>
      <c r="E350" s="178"/>
      <c r="F350" s="187"/>
      <c r="J350" s="87"/>
    </row>
    <row r="351" spans="1:10" x14ac:dyDescent="0.25">
      <c r="A351" s="286" t="s">
        <v>348</v>
      </c>
      <c r="B351" s="19" t="s">
        <v>349</v>
      </c>
      <c r="C351" s="286" t="s">
        <v>115</v>
      </c>
      <c r="D351" s="177">
        <v>24.6</v>
      </c>
      <c r="E351" s="178">
        <v>141463</v>
      </c>
      <c r="F351" s="187">
        <f t="shared" si="24"/>
        <v>3479990</v>
      </c>
      <c r="J351" s="87"/>
    </row>
    <row r="352" spans="1:10" ht="29.25" x14ac:dyDescent="0.25">
      <c r="A352" s="286">
        <v>2.2000000000000002</v>
      </c>
      <c r="B352" s="13" t="s">
        <v>350</v>
      </c>
      <c r="C352" s="286" t="s">
        <v>115</v>
      </c>
      <c r="D352" s="177">
        <v>1.5</v>
      </c>
      <c r="E352" s="178">
        <v>114584</v>
      </c>
      <c r="F352" s="187">
        <f t="shared" si="24"/>
        <v>171876</v>
      </c>
      <c r="J352" s="87"/>
    </row>
    <row r="353" spans="1:10" ht="29.25" x14ac:dyDescent="0.25">
      <c r="A353" s="286" t="s">
        <v>351</v>
      </c>
      <c r="B353" s="13" t="s">
        <v>464</v>
      </c>
      <c r="C353" s="286" t="s">
        <v>115</v>
      </c>
      <c r="D353" s="177">
        <v>5.98</v>
      </c>
      <c r="E353" s="178">
        <v>107656</v>
      </c>
      <c r="F353" s="187">
        <f t="shared" si="24"/>
        <v>643783</v>
      </c>
      <c r="J353" s="87"/>
    </row>
    <row r="354" spans="1:10" x14ac:dyDescent="0.25">
      <c r="A354" s="286">
        <v>3</v>
      </c>
      <c r="B354" s="179" t="s">
        <v>353</v>
      </c>
      <c r="C354" s="286"/>
      <c r="D354" s="177"/>
      <c r="E354" s="178"/>
      <c r="F354" s="187"/>
      <c r="J354" s="88"/>
    </row>
    <row r="355" spans="1:10" ht="29.25" x14ac:dyDescent="0.25">
      <c r="A355" s="286" t="s">
        <v>354</v>
      </c>
      <c r="B355" s="13" t="s">
        <v>355</v>
      </c>
      <c r="C355" s="286" t="s">
        <v>115</v>
      </c>
      <c r="D355" s="177">
        <v>112.58</v>
      </c>
      <c r="E355" s="178">
        <v>36641</v>
      </c>
      <c r="F355" s="187">
        <f t="shared" si="24"/>
        <v>4125044</v>
      </c>
      <c r="J355" s="87"/>
    </row>
    <row r="356" spans="1:10" x14ac:dyDescent="0.25">
      <c r="A356" s="286">
        <v>4</v>
      </c>
      <c r="B356" s="179" t="s">
        <v>356</v>
      </c>
      <c r="C356" s="286"/>
      <c r="D356" s="177"/>
      <c r="E356" s="178"/>
      <c r="F356" s="187"/>
      <c r="J356" s="87"/>
    </row>
    <row r="357" spans="1:10" ht="29.25" x14ac:dyDescent="0.25">
      <c r="A357" s="286" t="s">
        <v>357</v>
      </c>
      <c r="B357" s="13" t="s">
        <v>358</v>
      </c>
      <c r="C357" s="286" t="s">
        <v>115</v>
      </c>
      <c r="D357" s="177">
        <v>138.66</v>
      </c>
      <c r="E357" s="178">
        <v>30196</v>
      </c>
      <c r="F357" s="187">
        <f t="shared" si="24"/>
        <v>4186977</v>
      </c>
      <c r="J357" s="87"/>
    </row>
    <row r="358" spans="1:10" x14ac:dyDescent="0.25">
      <c r="A358" s="286">
        <v>4.2</v>
      </c>
      <c r="B358" s="13" t="s">
        <v>359</v>
      </c>
      <c r="C358" s="286" t="s">
        <v>115</v>
      </c>
      <c r="D358" s="177">
        <v>26.4</v>
      </c>
      <c r="E358" s="178">
        <v>35903</v>
      </c>
      <c r="F358" s="187">
        <f t="shared" si="24"/>
        <v>947839</v>
      </c>
      <c r="J358" s="87"/>
    </row>
    <row r="359" spans="1:10" x14ac:dyDescent="0.25">
      <c r="A359" s="286">
        <v>4.3</v>
      </c>
      <c r="B359" s="13" t="s">
        <v>360</v>
      </c>
      <c r="C359" s="286" t="s">
        <v>20</v>
      </c>
      <c r="D359" s="177">
        <v>20</v>
      </c>
      <c r="E359" s="178">
        <v>36641</v>
      </c>
      <c r="F359" s="187">
        <f t="shared" si="24"/>
        <v>732820</v>
      </c>
      <c r="J359" s="87"/>
    </row>
    <row r="360" spans="1:10" x14ac:dyDescent="0.25">
      <c r="A360" s="286">
        <v>5</v>
      </c>
      <c r="B360" s="179" t="s">
        <v>361</v>
      </c>
      <c r="C360" s="286"/>
      <c r="D360" s="177"/>
      <c r="E360" s="178"/>
      <c r="F360" s="187"/>
      <c r="J360" s="87"/>
    </row>
    <row r="361" spans="1:10" ht="29.25" x14ac:dyDescent="0.25">
      <c r="A361" s="286" t="s">
        <v>362</v>
      </c>
      <c r="B361" s="13" t="s">
        <v>363</v>
      </c>
      <c r="C361" s="286" t="s">
        <v>115</v>
      </c>
      <c r="D361" s="177">
        <v>68.400000000000006</v>
      </c>
      <c r="E361" s="178">
        <v>24785</v>
      </c>
      <c r="F361" s="187">
        <f t="shared" si="24"/>
        <v>1695294</v>
      </c>
      <c r="J361" s="87"/>
    </row>
    <row r="362" spans="1:10" ht="29.25" x14ac:dyDescent="0.25">
      <c r="A362" s="286" t="s">
        <v>364</v>
      </c>
      <c r="B362" s="13" t="s">
        <v>365</v>
      </c>
      <c r="C362" s="286" t="s">
        <v>115</v>
      </c>
      <c r="D362" s="177">
        <v>30</v>
      </c>
      <c r="E362" s="178">
        <v>106445</v>
      </c>
      <c r="F362" s="187">
        <f t="shared" si="24"/>
        <v>3193350</v>
      </c>
      <c r="J362" s="87"/>
    </row>
    <row r="363" spans="1:10" x14ac:dyDescent="0.25">
      <c r="A363" s="286"/>
      <c r="B363" s="13"/>
      <c r="C363" s="286"/>
      <c r="D363" s="177"/>
      <c r="E363" s="178"/>
      <c r="F363" s="187"/>
      <c r="J363" s="87"/>
    </row>
    <row r="364" spans="1:10" ht="30" x14ac:dyDescent="0.25">
      <c r="A364" s="286">
        <v>6</v>
      </c>
      <c r="B364" s="179" t="s">
        <v>366</v>
      </c>
      <c r="C364" s="286"/>
      <c r="D364" s="177"/>
      <c r="E364" s="178"/>
      <c r="F364" s="187"/>
      <c r="J364" s="87"/>
    </row>
    <row r="365" spans="1:10" ht="29.25" x14ac:dyDescent="0.25">
      <c r="A365" s="286" t="s">
        <v>367</v>
      </c>
      <c r="B365" s="13" t="s">
        <v>368</v>
      </c>
      <c r="C365" s="286" t="s">
        <v>115</v>
      </c>
      <c r="D365" s="177">
        <v>5.98</v>
      </c>
      <c r="E365" s="178">
        <v>99425</v>
      </c>
      <c r="F365" s="187">
        <f t="shared" si="24"/>
        <v>594562</v>
      </c>
      <c r="J365" s="87"/>
    </row>
    <row r="366" spans="1:10" ht="43.5" x14ac:dyDescent="0.25">
      <c r="A366" s="286">
        <v>6.2</v>
      </c>
      <c r="B366" s="13" t="s">
        <v>519</v>
      </c>
      <c r="C366" s="286" t="s">
        <v>115</v>
      </c>
      <c r="D366" s="177">
        <v>26.4</v>
      </c>
      <c r="E366" s="178">
        <v>190032</v>
      </c>
      <c r="F366" s="187">
        <f t="shared" si="24"/>
        <v>5016845</v>
      </c>
      <c r="J366" s="87"/>
    </row>
    <row r="367" spans="1:10" ht="29.25" x14ac:dyDescent="0.25">
      <c r="A367" s="286">
        <v>6.3</v>
      </c>
      <c r="B367" s="13" t="s">
        <v>370</v>
      </c>
      <c r="C367" s="286" t="s">
        <v>115</v>
      </c>
      <c r="D367" s="177">
        <v>48.12</v>
      </c>
      <c r="E367" s="178">
        <v>100848</v>
      </c>
      <c r="F367" s="187">
        <f t="shared" si="24"/>
        <v>4852806</v>
      </c>
      <c r="J367" s="87"/>
    </row>
    <row r="368" spans="1:10" x14ac:dyDescent="0.25">
      <c r="A368" s="286">
        <v>7</v>
      </c>
      <c r="B368" s="179" t="s">
        <v>371</v>
      </c>
      <c r="C368" s="286"/>
      <c r="D368" s="177"/>
      <c r="E368" s="178"/>
      <c r="F368" s="187"/>
      <c r="J368" s="87"/>
    </row>
    <row r="369" spans="1:10" ht="43.5" x14ac:dyDescent="0.25">
      <c r="A369" s="286" t="s">
        <v>372</v>
      </c>
      <c r="B369" s="13" t="s">
        <v>523</v>
      </c>
      <c r="C369" s="286" t="s">
        <v>18</v>
      </c>
      <c r="D369" s="177">
        <v>100</v>
      </c>
      <c r="E369" s="178">
        <v>13960</v>
      </c>
      <c r="F369" s="187">
        <f t="shared" si="24"/>
        <v>1396000</v>
      </c>
      <c r="J369" s="87"/>
    </row>
    <row r="370" spans="1:10" ht="43.5" x14ac:dyDescent="0.25">
      <c r="A370" s="286" t="s">
        <v>374</v>
      </c>
      <c r="B370" s="13" t="s">
        <v>524</v>
      </c>
      <c r="C370" s="286" t="s">
        <v>18</v>
      </c>
      <c r="D370" s="177">
        <v>80</v>
      </c>
      <c r="E370" s="178">
        <v>27441</v>
      </c>
      <c r="F370" s="187">
        <f t="shared" si="24"/>
        <v>2195280</v>
      </c>
      <c r="J370" s="87"/>
    </row>
    <row r="371" spans="1:10" ht="29.25" x14ac:dyDescent="0.25">
      <c r="A371" s="286" t="s">
        <v>376</v>
      </c>
      <c r="B371" s="13" t="s">
        <v>377</v>
      </c>
      <c r="C371" s="286" t="s">
        <v>125</v>
      </c>
      <c r="D371" s="177">
        <v>2</v>
      </c>
      <c r="E371" s="178">
        <v>103880</v>
      </c>
      <c r="F371" s="187">
        <f t="shared" si="24"/>
        <v>207760</v>
      </c>
      <c r="J371" s="87"/>
    </row>
    <row r="372" spans="1:10" ht="29.25" x14ac:dyDescent="0.25">
      <c r="A372" s="286" t="s">
        <v>378</v>
      </c>
      <c r="B372" s="13" t="s">
        <v>379</v>
      </c>
      <c r="C372" s="286" t="s">
        <v>125</v>
      </c>
      <c r="D372" s="177">
        <v>10</v>
      </c>
      <c r="E372" s="178">
        <v>69353</v>
      </c>
      <c r="F372" s="187">
        <f t="shared" si="24"/>
        <v>693530</v>
      </c>
      <c r="J372" s="87"/>
    </row>
    <row r="373" spans="1:10" ht="29.25" x14ac:dyDescent="0.25">
      <c r="A373" s="286" t="s">
        <v>380</v>
      </c>
      <c r="B373" s="13" t="s">
        <v>381</v>
      </c>
      <c r="C373" s="286" t="s">
        <v>18</v>
      </c>
      <c r="D373" s="177">
        <v>1.5</v>
      </c>
      <c r="E373" s="178">
        <v>721405</v>
      </c>
      <c r="F373" s="187">
        <f t="shared" si="24"/>
        <v>1082108</v>
      </c>
      <c r="J373" s="87"/>
    </row>
    <row r="374" spans="1:10" ht="29.25" x14ac:dyDescent="0.25">
      <c r="A374" s="286" t="s">
        <v>382</v>
      </c>
      <c r="B374" s="13" t="s">
        <v>383</v>
      </c>
      <c r="C374" s="286" t="s">
        <v>125</v>
      </c>
      <c r="D374" s="177">
        <v>3</v>
      </c>
      <c r="E374" s="178">
        <v>605385</v>
      </c>
      <c r="F374" s="187">
        <f t="shared" si="24"/>
        <v>1816155</v>
      </c>
      <c r="J374" s="87"/>
    </row>
    <row r="375" spans="1:10" ht="29.25" x14ac:dyDescent="0.25">
      <c r="A375" s="286" t="s">
        <v>384</v>
      </c>
      <c r="B375" s="13" t="s">
        <v>385</v>
      </c>
      <c r="C375" s="286" t="s">
        <v>125</v>
      </c>
      <c r="D375" s="177">
        <v>3</v>
      </c>
      <c r="E375" s="178">
        <v>574732</v>
      </c>
      <c r="F375" s="187">
        <f t="shared" si="24"/>
        <v>1724196</v>
      </c>
      <c r="J375" s="87"/>
    </row>
    <row r="376" spans="1:10" ht="29.25" x14ac:dyDescent="0.25">
      <c r="A376" s="286" t="s">
        <v>386</v>
      </c>
      <c r="B376" s="13" t="s">
        <v>387</v>
      </c>
      <c r="C376" s="286" t="s">
        <v>23</v>
      </c>
      <c r="D376" s="177">
        <v>20</v>
      </c>
      <c r="E376" s="178">
        <v>419235</v>
      </c>
      <c r="F376" s="187">
        <f t="shared" si="24"/>
        <v>8384700</v>
      </c>
      <c r="J376" s="87"/>
    </row>
    <row r="377" spans="1:10" ht="57.75" x14ac:dyDescent="0.25">
      <c r="A377" s="286" t="s">
        <v>390</v>
      </c>
      <c r="B377" s="13" t="s">
        <v>525</v>
      </c>
      <c r="C377" s="286" t="s">
        <v>125</v>
      </c>
      <c r="D377" s="177">
        <v>2</v>
      </c>
      <c r="E377" s="178">
        <v>779473</v>
      </c>
      <c r="F377" s="187">
        <f t="shared" si="24"/>
        <v>1558946</v>
      </c>
      <c r="J377" s="87"/>
    </row>
    <row r="378" spans="1:10" x14ac:dyDescent="0.25">
      <c r="A378" s="286" t="s">
        <v>392</v>
      </c>
      <c r="B378" s="13" t="s">
        <v>526</v>
      </c>
      <c r="C378" s="286" t="s">
        <v>125</v>
      </c>
      <c r="D378" s="177">
        <v>20</v>
      </c>
      <c r="E378" s="178">
        <v>66314</v>
      </c>
      <c r="F378" s="187">
        <f t="shared" si="24"/>
        <v>1326280</v>
      </c>
      <c r="J378" s="87"/>
    </row>
    <row r="379" spans="1:10" x14ac:dyDescent="0.25">
      <c r="A379" s="286">
        <v>8</v>
      </c>
      <c r="B379" s="179" t="s">
        <v>394</v>
      </c>
      <c r="C379" s="286"/>
      <c r="D379" s="177"/>
      <c r="E379" s="178"/>
      <c r="F379" s="187"/>
      <c r="J379" s="87"/>
    </row>
    <row r="380" spans="1:10" x14ac:dyDescent="0.25">
      <c r="A380" s="286" t="s">
        <v>395</v>
      </c>
      <c r="B380" s="13" t="s">
        <v>396</v>
      </c>
      <c r="C380" s="286" t="s">
        <v>18</v>
      </c>
      <c r="D380" s="177">
        <v>416</v>
      </c>
      <c r="E380" s="178">
        <v>14248</v>
      </c>
      <c r="F380" s="187">
        <f t="shared" si="24"/>
        <v>5927168</v>
      </c>
      <c r="J380" s="87"/>
    </row>
    <row r="381" spans="1:10" ht="29.25" x14ac:dyDescent="0.25">
      <c r="A381" s="286">
        <v>8.4</v>
      </c>
      <c r="B381" s="181" t="s">
        <v>400</v>
      </c>
      <c r="C381" s="286" t="s">
        <v>115</v>
      </c>
      <c r="D381" s="177">
        <v>5.98</v>
      </c>
      <c r="E381" s="178">
        <v>761635</v>
      </c>
      <c r="F381" s="187">
        <f t="shared" si="24"/>
        <v>4554577</v>
      </c>
      <c r="J381" s="87"/>
    </row>
    <row r="382" spans="1:10" ht="42.75" x14ac:dyDescent="0.25">
      <c r="A382" s="286">
        <v>8.5</v>
      </c>
      <c r="B382" s="9" t="s">
        <v>401</v>
      </c>
      <c r="C382" s="286" t="s">
        <v>115</v>
      </c>
      <c r="D382" s="177">
        <v>32.4</v>
      </c>
      <c r="E382" s="178">
        <v>914501</v>
      </c>
      <c r="F382" s="187">
        <f t="shared" si="24"/>
        <v>29629832</v>
      </c>
      <c r="J382" s="87"/>
    </row>
    <row r="383" spans="1:10" x14ac:dyDescent="0.25">
      <c r="A383" s="219"/>
      <c r="B383" s="18" t="s">
        <v>56</v>
      </c>
      <c r="C383" s="54"/>
      <c r="D383" s="130"/>
      <c r="E383" s="28"/>
      <c r="F383" s="28">
        <f>SUM(F347:F382)</f>
        <v>91829637</v>
      </c>
      <c r="J383" s="87"/>
    </row>
    <row r="384" spans="1:10" x14ac:dyDescent="0.25">
      <c r="A384" s="19"/>
      <c r="B384" s="19" t="s">
        <v>60</v>
      </c>
      <c r="C384" s="19"/>
      <c r="D384" s="19"/>
      <c r="E384" s="19"/>
      <c r="F384" s="29">
        <f>ROUND(F383/1.3495,0)</f>
        <v>68047156</v>
      </c>
      <c r="J384" s="67"/>
    </row>
    <row r="385" spans="1:10" x14ac:dyDescent="0.25">
      <c r="A385" s="19"/>
      <c r="B385" s="19" t="s">
        <v>61</v>
      </c>
      <c r="C385" s="131">
        <v>0.24</v>
      </c>
      <c r="D385" s="19"/>
      <c r="E385" s="19"/>
      <c r="F385" s="29">
        <f>ROUND(F384*C385,0)</f>
        <v>16331317</v>
      </c>
      <c r="J385" s="85"/>
    </row>
    <row r="386" spans="1:10" x14ac:dyDescent="0.25">
      <c r="A386" s="19"/>
      <c r="B386" s="19" t="s">
        <v>57</v>
      </c>
      <c r="C386" s="131">
        <v>0.05</v>
      </c>
      <c r="D386" s="19"/>
      <c r="E386" s="19"/>
      <c r="F386" s="29">
        <f>ROUND(F384*C386,0)</f>
        <v>3402358</v>
      </c>
      <c r="J386" s="89"/>
    </row>
    <row r="387" spans="1:10" x14ac:dyDescent="0.25">
      <c r="A387" s="19"/>
      <c r="B387" s="19" t="s">
        <v>62</v>
      </c>
      <c r="C387" s="131">
        <v>0.05</v>
      </c>
      <c r="D387" s="19"/>
      <c r="E387" s="19"/>
      <c r="F387" s="29">
        <f>ROUND(F384*C387,0)</f>
        <v>3402358</v>
      </c>
    </row>
    <row r="388" spans="1:10" x14ac:dyDescent="0.25">
      <c r="A388" s="19"/>
      <c r="B388" s="132" t="s">
        <v>63</v>
      </c>
      <c r="C388" s="133">
        <v>0.19</v>
      </c>
      <c r="D388" s="120"/>
      <c r="E388" s="120"/>
      <c r="F388" s="35">
        <f>ROUND(F387*19%,0)</f>
        <v>646448</v>
      </c>
    </row>
    <row r="389" spans="1:10" x14ac:dyDescent="0.25">
      <c r="A389" s="19"/>
      <c r="B389" s="18" t="s">
        <v>56</v>
      </c>
      <c r="C389" s="19"/>
      <c r="D389" s="19"/>
      <c r="E389" s="19"/>
      <c r="F389" s="30">
        <f>SUM(F384:F388)</f>
        <v>91829637</v>
      </c>
    </row>
    <row r="390" spans="1:10" ht="15.75" thickBot="1" x14ac:dyDescent="0.3">
      <c r="A390" s="81"/>
      <c r="B390" s="81"/>
      <c r="C390" s="81"/>
      <c r="D390" s="81"/>
      <c r="E390" s="81"/>
      <c r="F390" s="81"/>
    </row>
    <row r="391" spans="1:10" ht="43.5" customHeight="1" thickBot="1" x14ac:dyDescent="0.3">
      <c r="A391" s="491" t="s">
        <v>976</v>
      </c>
      <c r="B391" s="492"/>
      <c r="C391" s="492"/>
      <c r="D391" s="492"/>
      <c r="E391" s="492"/>
      <c r="F391" s="493"/>
    </row>
    <row r="392" spans="1:10" x14ac:dyDescent="0.25">
      <c r="A392" s="321" t="s">
        <v>421</v>
      </c>
      <c r="B392" s="321" t="s">
        <v>422</v>
      </c>
      <c r="C392" s="321" t="s">
        <v>423</v>
      </c>
      <c r="D392" s="321" t="s">
        <v>13</v>
      </c>
      <c r="E392" s="321" t="s">
        <v>424</v>
      </c>
      <c r="F392" s="321" t="s">
        <v>425</v>
      </c>
    </row>
    <row r="393" spans="1:10" x14ac:dyDescent="0.25">
      <c r="A393" s="222" t="s">
        <v>338</v>
      </c>
      <c r="B393" s="20" t="s">
        <v>16</v>
      </c>
      <c r="C393" s="222"/>
      <c r="D393" s="186"/>
      <c r="E393" s="187"/>
      <c r="F393" s="187"/>
    </row>
    <row r="394" spans="1:10" ht="42.75" x14ac:dyDescent="0.25">
      <c r="A394" s="222" t="s">
        <v>339</v>
      </c>
      <c r="B394" s="132" t="s">
        <v>340</v>
      </c>
      <c r="C394" s="222" t="s">
        <v>341</v>
      </c>
      <c r="D394" s="186">
        <v>40</v>
      </c>
      <c r="E394" s="178">
        <v>7564</v>
      </c>
      <c r="F394" s="187">
        <f t="shared" ref="F394:F427" si="25">ROUND(D394*E394,0)</f>
        <v>302560</v>
      </c>
    </row>
    <row r="395" spans="1:10" ht="42.75" x14ac:dyDescent="0.25">
      <c r="A395" s="222" t="s">
        <v>342</v>
      </c>
      <c r="B395" s="132" t="s">
        <v>343</v>
      </c>
      <c r="C395" s="222" t="s">
        <v>341</v>
      </c>
      <c r="D395" s="186">
        <v>78</v>
      </c>
      <c r="E395" s="178">
        <v>12418</v>
      </c>
      <c r="F395" s="187">
        <f t="shared" si="25"/>
        <v>968604</v>
      </c>
    </row>
    <row r="396" spans="1:10" ht="42.75" x14ac:dyDescent="0.25">
      <c r="A396" s="222" t="s">
        <v>344</v>
      </c>
      <c r="B396" s="132" t="s">
        <v>345</v>
      </c>
      <c r="C396" s="222" t="s">
        <v>125</v>
      </c>
      <c r="D396" s="186">
        <v>2</v>
      </c>
      <c r="E396" s="187">
        <v>243668</v>
      </c>
      <c r="F396" s="187">
        <f t="shared" si="25"/>
        <v>487336</v>
      </c>
    </row>
    <row r="397" spans="1:10" x14ac:dyDescent="0.25">
      <c r="A397" s="222">
        <v>2</v>
      </c>
      <c r="B397" s="20" t="s">
        <v>347</v>
      </c>
      <c r="C397" s="222"/>
      <c r="D397" s="186"/>
      <c r="E397" s="187"/>
      <c r="F397" s="187"/>
    </row>
    <row r="398" spans="1:10" x14ac:dyDescent="0.25">
      <c r="A398" s="222" t="s">
        <v>348</v>
      </c>
      <c r="B398" s="120" t="s">
        <v>349</v>
      </c>
      <c r="C398" s="222" t="s">
        <v>115</v>
      </c>
      <c r="D398" s="186">
        <v>8.8800000000000008</v>
      </c>
      <c r="E398" s="187">
        <v>141463</v>
      </c>
      <c r="F398" s="187">
        <f t="shared" si="25"/>
        <v>1256191</v>
      </c>
    </row>
    <row r="399" spans="1:10" ht="28.5" x14ac:dyDescent="0.25">
      <c r="A399" s="222">
        <v>2.2000000000000002</v>
      </c>
      <c r="B399" s="132" t="s">
        <v>350</v>
      </c>
      <c r="C399" s="222" t="s">
        <v>115</v>
      </c>
      <c r="D399" s="186">
        <v>1.1000000000000001</v>
      </c>
      <c r="E399" s="187">
        <v>114584</v>
      </c>
      <c r="F399" s="187">
        <f t="shared" si="25"/>
        <v>126042</v>
      </c>
    </row>
    <row r="400" spans="1:10" ht="28.5" x14ac:dyDescent="0.25">
      <c r="A400" s="222" t="s">
        <v>351</v>
      </c>
      <c r="B400" s="132" t="s">
        <v>464</v>
      </c>
      <c r="C400" s="222" t="s">
        <v>115</v>
      </c>
      <c r="D400" s="186">
        <v>1.99</v>
      </c>
      <c r="E400" s="187">
        <v>107656</v>
      </c>
      <c r="F400" s="187">
        <f t="shared" si="25"/>
        <v>214235</v>
      </c>
    </row>
    <row r="401" spans="1:6" x14ac:dyDescent="0.25">
      <c r="A401" s="222">
        <v>3</v>
      </c>
      <c r="B401" s="195" t="s">
        <v>353</v>
      </c>
      <c r="C401" s="222"/>
      <c r="D401" s="186"/>
      <c r="E401" s="187"/>
      <c r="F401" s="187"/>
    </row>
    <row r="402" spans="1:6" ht="28.5" x14ac:dyDescent="0.25">
      <c r="A402" s="222" t="s">
        <v>354</v>
      </c>
      <c r="B402" s="132" t="s">
        <v>355</v>
      </c>
      <c r="C402" s="222" t="s">
        <v>115</v>
      </c>
      <c r="D402" s="186">
        <v>38.770000000000003</v>
      </c>
      <c r="E402" s="90">
        <v>36641</v>
      </c>
      <c r="F402" s="187">
        <f t="shared" si="25"/>
        <v>1420572</v>
      </c>
    </row>
    <row r="403" spans="1:6" x14ac:dyDescent="0.25">
      <c r="A403" s="222">
        <v>4</v>
      </c>
      <c r="B403" s="195" t="s">
        <v>356</v>
      </c>
      <c r="C403" s="222"/>
      <c r="D403" s="186"/>
      <c r="E403" s="187"/>
      <c r="F403" s="187"/>
    </row>
    <row r="404" spans="1:6" ht="28.5" x14ac:dyDescent="0.25">
      <c r="A404" s="222" t="s">
        <v>357</v>
      </c>
      <c r="B404" s="132" t="s">
        <v>358</v>
      </c>
      <c r="C404" s="222" t="s">
        <v>115</v>
      </c>
      <c r="D404" s="186">
        <v>55.82</v>
      </c>
      <c r="E404" s="187">
        <v>30196</v>
      </c>
      <c r="F404" s="187">
        <f t="shared" si="25"/>
        <v>1685541</v>
      </c>
    </row>
    <row r="405" spans="1:6" x14ac:dyDescent="0.25">
      <c r="A405" s="222">
        <v>4.2</v>
      </c>
      <c r="B405" s="132" t="s">
        <v>359</v>
      </c>
      <c r="C405" s="222" t="s">
        <v>115</v>
      </c>
      <c r="D405" s="186">
        <v>8.09</v>
      </c>
      <c r="E405" s="187">
        <v>35903</v>
      </c>
      <c r="F405" s="187">
        <f t="shared" si="25"/>
        <v>290455</v>
      </c>
    </row>
    <row r="406" spans="1:6" x14ac:dyDescent="0.25">
      <c r="A406" s="222">
        <v>4.3</v>
      </c>
      <c r="B406" s="132" t="s">
        <v>360</v>
      </c>
      <c r="C406" s="222" t="s">
        <v>20</v>
      </c>
      <c r="D406" s="186">
        <v>15</v>
      </c>
      <c r="E406" s="187">
        <v>36641</v>
      </c>
      <c r="F406" s="187">
        <f t="shared" si="25"/>
        <v>549615</v>
      </c>
    </row>
    <row r="407" spans="1:6" x14ac:dyDescent="0.25">
      <c r="A407" s="222">
        <v>5</v>
      </c>
      <c r="B407" s="195" t="s">
        <v>361</v>
      </c>
      <c r="C407" s="222"/>
      <c r="D407" s="186"/>
      <c r="E407" s="187"/>
      <c r="F407" s="187"/>
    </row>
    <row r="408" spans="1:6" ht="28.5" x14ac:dyDescent="0.25">
      <c r="A408" s="222" t="s">
        <v>362</v>
      </c>
      <c r="B408" s="132" t="s">
        <v>363</v>
      </c>
      <c r="C408" s="222" t="s">
        <v>115</v>
      </c>
      <c r="D408" s="186">
        <v>39.1</v>
      </c>
      <c r="E408" s="187">
        <v>24785</v>
      </c>
      <c r="F408" s="187">
        <f t="shared" si="25"/>
        <v>969094</v>
      </c>
    </row>
    <row r="409" spans="1:6" ht="28.5" x14ac:dyDescent="0.25">
      <c r="A409" s="222" t="s">
        <v>364</v>
      </c>
      <c r="B409" s="132" t="s">
        <v>365</v>
      </c>
      <c r="C409" s="222" t="s">
        <v>115</v>
      </c>
      <c r="D409" s="186">
        <v>8.09</v>
      </c>
      <c r="E409" s="187">
        <v>106445</v>
      </c>
      <c r="F409" s="187">
        <f t="shared" si="25"/>
        <v>861140</v>
      </c>
    </row>
    <row r="410" spans="1:6" x14ac:dyDescent="0.25">
      <c r="A410" s="222"/>
      <c r="B410" s="132"/>
      <c r="C410" s="222"/>
      <c r="D410" s="186"/>
      <c r="E410" s="187"/>
      <c r="F410" s="187"/>
    </row>
    <row r="411" spans="1:6" ht="30" x14ac:dyDescent="0.25">
      <c r="A411" s="222">
        <v>6</v>
      </c>
      <c r="B411" s="195" t="s">
        <v>366</v>
      </c>
      <c r="C411" s="222"/>
      <c r="D411" s="186"/>
      <c r="E411" s="187"/>
      <c r="F411" s="187"/>
    </row>
    <row r="412" spans="1:6" ht="28.5" x14ac:dyDescent="0.25">
      <c r="A412" s="222" t="s">
        <v>367</v>
      </c>
      <c r="B412" s="132" t="s">
        <v>368</v>
      </c>
      <c r="C412" s="222" t="s">
        <v>115</v>
      </c>
      <c r="D412" s="186">
        <v>1.99</v>
      </c>
      <c r="E412" s="187">
        <v>99425</v>
      </c>
      <c r="F412" s="187">
        <f t="shared" si="25"/>
        <v>197856</v>
      </c>
    </row>
    <row r="413" spans="1:6" ht="42.75" x14ac:dyDescent="0.25">
      <c r="A413" s="222">
        <v>6.2</v>
      </c>
      <c r="B413" s="132" t="s">
        <v>519</v>
      </c>
      <c r="C413" s="222" t="s">
        <v>115</v>
      </c>
      <c r="D413" s="186">
        <v>8.09</v>
      </c>
      <c r="E413" s="187">
        <v>190032</v>
      </c>
      <c r="F413" s="187">
        <f t="shared" si="25"/>
        <v>1537359</v>
      </c>
    </row>
    <row r="414" spans="1:6" ht="28.5" x14ac:dyDescent="0.25">
      <c r="A414" s="222">
        <v>6.3</v>
      </c>
      <c r="B414" s="132" t="s">
        <v>370</v>
      </c>
      <c r="C414" s="222" t="s">
        <v>115</v>
      </c>
      <c r="D414" s="186">
        <v>16.72</v>
      </c>
      <c r="E414" s="187">
        <v>100848</v>
      </c>
      <c r="F414" s="187">
        <f t="shared" si="25"/>
        <v>1686179</v>
      </c>
    </row>
    <row r="415" spans="1:6" x14ac:dyDescent="0.25">
      <c r="A415" s="222">
        <v>7</v>
      </c>
      <c r="B415" s="195" t="s">
        <v>371</v>
      </c>
      <c r="C415" s="222"/>
      <c r="D415" s="186"/>
      <c r="E415" s="187"/>
      <c r="F415" s="187"/>
    </row>
    <row r="416" spans="1:6" ht="42.75" x14ac:dyDescent="0.25">
      <c r="A416" s="222" t="s">
        <v>372</v>
      </c>
      <c r="B416" s="132" t="s">
        <v>523</v>
      </c>
      <c r="C416" s="222" t="s">
        <v>18</v>
      </c>
      <c r="D416" s="186">
        <v>15</v>
      </c>
      <c r="E416" s="187">
        <v>13960</v>
      </c>
      <c r="F416" s="187">
        <f t="shared" si="25"/>
        <v>209400</v>
      </c>
    </row>
    <row r="417" spans="1:6" ht="42.75" x14ac:dyDescent="0.25">
      <c r="A417" s="222" t="s">
        <v>374</v>
      </c>
      <c r="B417" s="132" t="s">
        <v>524</v>
      </c>
      <c r="C417" s="222" t="s">
        <v>18</v>
      </c>
      <c r="D417" s="186">
        <v>37</v>
      </c>
      <c r="E417" s="187">
        <v>27441</v>
      </c>
      <c r="F417" s="187">
        <f t="shared" si="25"/>
        <v>1015317</v>
      </c>
    </row>
    <row r="418" spans="1:6" ht="28.5" x14ac:dyDescent="0.25">
      <c r="A418" s="222" t="s">
        <v>376</v>
      </c>
      <c r="B418" s="132" t="s">
        <v>377</v>
      </c>
      <c r="C418" s="222" t="s">
        <v>125</v>
      </c>
      <c r="D418" s="186">
        <v>2</v>
      </c>
      <c r="E418" s="187">
        <v>103880</v>
      </c>
      <c r="F418" s="187">
        <f t="shared" si="25"/>
        <v>207760</v>
      </c>
    </row>
    <row r="419" spans="1:6" ht="28.5" x14ac:dyDescent="0.25">
      <c r="A419" s="222" t="s">
        <v>378</v>
      </c>
      <c r="B419" s="132" t="s">
        <v>379</v>
      </c>
      <c r="C419" s="222" t="s">
        <v>125</v>
      </c>
      <c r="D419" s="186">
        <v>4</v>
      </c>
      <c r="E419" s="187">
        <v>69353</v>
      </c>
      <c r="F419" s="187">
        <f t="shared" si="25"/>
        <v>277412</v>
      </c>
    </row>
    <row r="420" spans="1:6" ht="28.5" x14ac:dyDescent="0.25">
      <c r="A420" s="222" t="s">
        <v>382</v>
      </c>
      <c r="B420" s="132" t="s">
        <v>383</v>
      </c>
      <c r="C420" s="222" t="s">
        <v>125</v>
      </c>
      <c r="D420" s="186">
        <v>2</v>
      </c>
      <c r="E420" s="187">
        <v>605385</v>
      </c>
      <c r="F420" s="187">
        <f t="shared" si="25"/>
        <v>1210770</v>
      </c>
    </row>
    <row r="421" spans="1:6" ht="28.5" x14ac:dyDescent="0.25">
      <c r="A421" s="222" t="s">
        <v>386</v>
      </c>
      <c r="B421" s="132" t="s">
        <v>387</v>
      </c>
      <c r="C421" s="222" t="s">
        <v>23</v>
      </c>
      <c r="D421" s="186">
        <v>10</v>
      </c>
      <c r="E421" s="187">
        <v>419235</v>
      </c>
      <c r="F421" s="187">
        <f t="shared" si="25"/>
        <v>4192350</v>
      </c>
    </row>
    <row r="422" spans="1:6" ht="57" x14ac:dyDescent="0.25">
      <c r="A422" s="222" t="s">
        <v>390</v>
      </c>
      <c r="B422" s="132" t="s">
        <v>525</v>
      </c>
      <c r="C422" s="222" t="s">
        <v>125</v>
      </c>
      <c r="D422" s="186">
        <v>2</v>
      </c>
      <c r="E422" s="187">
        <v>779473</v>
      </c>
      <c r="F422" s="187">
        <f t="shared" si="25"/>
        <v>1558946</v>
      </c>
    </row>
    <row r="423" spans="1:6" x14ac:dyDescent="0.25">
      <c r="A423" s="222" t="s">
        <v>392</v>
      </c>
      <c r="B423" s="132" t="s">
        <v>526</v>
      </c>
      <c r="C423" s="222" t="s">
        <v>125</v>
      </c>
      <c r="D423" s="186">
        <v>10</v>
      </c>
      <c r="E423" s="187">
        <v>66314</v>
      </c>
      <c r="F423" s="187">
        <f t="shared" si="25"/>
        <v>663140</v>
      </c>
    </row>
    <row r="424" spans="1:6" x14ac:dyDescent="0.25">
      <c r="A424" s="222">
        <v>8</v>
      </c>
      <c r="B424" s="195" t="s">
        <v>394</v>
      </c>
      <c r="C424" s="222"/>
      <c r="D424" s="186"/>
      <c r="E424" s="187"/>
      <c r="F424" s="187"/>
    </row>
    <row r="425" spans="1:6" x14ac:dyDescent="0.25">
      <c r="A425" s="222" t="s">
        <v>395</v>
      </c>
      <c r="B425" s="132" t="s">
        <v>396</v>
      </c>
      <c r="C425" s="222" t="s">
        <v>18</v>
      </c>
      <c r="D425" s="186">
        <v>50</v>
      </c>
      <c r="E425" s="187">
        <v>14248</v>
      </c>
      <c r="F425" s="187">
        <f t="shared" si="25"/>
        <v>712400</v>
      </c>
    </row>
    <row r="426" spans="1:6" ht="28.5" x14ac:dyDescent="0.25">
      <c r="A426" s="222">
        <v>8.4</v>
      </c>
      <c r="B426" s="196" t="s">
        <v>400</v>
      </c>
      <c r="C426" s="222" t="s">
        <v>115</v>
      </c>
      <c r="D426" s="186">
        <v>1.99</v>
      </c>
      <c r="E426" s="187">
        <v>761635</v>
      </c>
      <c r="F426" s="187">
        <f t="shared" si="25"/>
        <v>1515654</v>
      </c>
    </row>
    <row r="427" spans="1:6" ht="42.75" x14ac:dyDescent="0.25">
      <c r="A427" s="222">
        <v>8.5</v>
      </c>
      <c r="B427" s="9" t="s">
        <v>401</v>
      </c>
      <c r="C427" s="222" t="s">
        <v>115</v>
      </c>
      <c r="D427" s="186">
        <v>8.8800000000000008</v>
      </c>
      <c r="E427" s="187">
        <v>914501</v>
      </c>
      <c r="F427" s="187">
        <f t="shared" si="25"/>
        <v>8120769</v>
      </c>
    </row>
    <row r="428" spans="1:6" x14ac:dyDescent="0.25">
      <c r="A428" s="219"/>
      <c r="B428" s="18" t="s">
        <v>56</v>
      </c>
      <c r="C428" s="54"/>
      <c r="D428" s="130"/>
      <c r="E428" s="28"/>
      <c r="F428" s="79">
        <f>SUM(F394:F427)</f>
        <v>32236697</v>
      </c>
    </row>
    <row r="429" spans="1:6" x14ac:dyDescent="0.25">
      <c r="A429" s="19"/>
      <c r="B429" s="19" t="s">
        <v>60</v>
      </c>
      <c r="C429" s="19"/>
      <c r="D429" s="19"/>
      <c r="E429" s="19"/>
      <c r="F429" s="29">
        <f>ROUND(F428/1.3495,0)</f>
        <v>23887882</v>
      </c>
    </row>
    <row r="430" spans="1:6" x14ac:dyDescent="0.25">
      <c r="A430" s="19"/>
      <c r="B430" s="19" t="s">
        <v>61</v>
      </c>
      <c r="C430" s="131">
        <v>0.24</v>
      </c>
      <c r="D430" s="19"/>
      <c r="E430" s="19"/>
      <c r="F430" s="29">
        <f>ROUND(F429*C430,0)</f>
        <v>5733092</v>
      </c>
    </row>
    <row r="431" spans="1:6" x14ac:dyDescent="0.25">
      <c r="A431" s="19"/>
      <c r="B431" s="19" t="s">
        <v>57</v>
      </c>
      <c r="C431" s="131">
        <v>0.05</v>
      </c>
      <c r="D431" s="19"/>
      <c r="E431" s="19"/>
      <c r="F431" s="29">
        <f>ROUND(F429*C431,0)</f>
        <v>1194394</v>
      </c>
    </row>
    <row r="432" spans="1:6" x14ac:dyDescent="0.25">
      <c r="A432" s="19"/>
      <c r="B432" s="19" t="s">
        <v>62</v>
      </c>
      <c r="C432" s="131">
        <v>0.05</v>
      </c>
      <c r="D432" s="19"/>
      <c r="E432" s="19"/>
      <c r="F432" s="29">
        <f>ROUND(F429*C432,0)</f>
        <v>1194394</v>
      </c>
    </row>
    <row r="433" spans="1:6" x14ac:dyDescent="0.25">
      <c r="A433" s="19"/>
      <c r="B433" s="132" t="s">
        <v>63</v>
      </c>
      <c r="C433" s="133">
        <v>0.19</v>
      </c>
      <c r="D433" s="120"/>
      <c r="E433" s="120"/>
      <c r="F433" s="35">
        <f>ROUND(F432*19%,0)</f>
        <v>226935</v>
      </c>
    </row>
    <row r="434" spans="1:6" x14ac:dyDescent="0.25">
      <c r="A434" s="19"/>
      <c r="B434" s="18" t="s">
        <v>56</v>
      </c>
      <c r="C434" s="19"/>
      <c r="D434" s="19"/>
      <c r="E434" s="19"/>
      <c r="F434" s="30">
        <f>SUM(F429:F433)</f>
        <v>32236697</v>
      </c>
    </row>
    <row r="435" spans="1:6" ht="15.75" thickBot="1" x14ac:dyDescent="0.3">
      <c r="A435" s="81"/>
      <c r="B435" s="81"/>
      <c r="C435" s="81"/>
      <c r="D435" s="81"/>
      <c r="E435" s="81"/>
      <c r="F435" s="81"/>
    </row>
    <row r="436" spans="1:6" ht="48.75" customHeight="1" thickBot="1" x14ac:dyDescent="0.3">
      <c r="A436" s="494" t="s">
        <v>977</v>
      </c>
      <c r="B436" s="495"/>
      <c r="C436" s="495"/>
      <c r="D436" s="495"/>
      <c r="E436" s="495"/>
      <c r="F436" s="495"/>
    </row>
    <row r="437" spans="1:6" x14ac:dyDescent="0.25">
      <c r="A437" s="320" t="s">
        <v>421</v>
      </c>
      <c r="B437" s="320" t="s">
        <v>422</v>
      </c>
      <c r="C437" s="320" t="s">
        <v>423</v>
      </c>
      <c r="D437" s="320" t="s">
        <v>13</v>
      </c>
      <c r="E437" s="320" t="s">
        <v>424</v>
      </c>
      <c r="F437" s="320" t="s">
        <v>425</v>
      </c>
    </row>
    <row r="438" spans="1:6" x14ac:dyDescent="0.25">
      <c r="A438" s="54"/>
      <c r="B438" s="54"/>
      <c r="C438" s="54"/>
      <c r="D438" s="54"/>
      <c r="E438" s="54"/>
      <c r="F438" s="54"/>
    </row>
    <row r="439" spans="1:6" x14ac:dyDescent="0.25">
      <c r="A439" s="286" t="s">
        <v>338</v>
      </c>
      <c r="B439" s="11" t="s">
        <v>16</v>
      </c>
      <c r="C439" s="286"/>
      <c r="D439" s="177"/>
      <c r="E439" s="178"/>
      <c r="F439" s="178"/>
    </row>
    <row r="440" spans="1:6" ht="43.5" x14ac:dyDescent="0.25">
      <c r="A440" s="286" t="s">
        <v>339</v>
      </c>
      <c r="B440" s="13" t="s">
        <v>340</v>
      </c>
      <c r="C440" s="286" t="s">
        <v>341</v>
      </c>
      <c r="D440" s="177">
        <v>77</v>
      </c>
      <c r="E440" s="178">
        <v>7564</v>
      </c>
      <c r="F440" s="178">
        <f>ROUND(D440*E440,0)</f>
        <v>582428</v>
      </c>
    </row>
    <row r="441" spans="1:6" ht="43.5" x14ac:dyDescent="0.25">
      <c r="A441" s="286" t="s">
        <v>342</v>
      </c>
      <c r="B441" s="13" t="s">
        <v>343</v>
      </c>
      <c r="C441" s="286" t="s">
        <v>341</v>
      </c>
      <c r="D441" s="177">
        <v>170</v>
      </c>
      <c r="E441" s="178">
        <v>12418</v>
      </c>
      <c r="F441" s="178">
        <f>ROUND(D441*E441,0)</f>
        <v>2111060</v>
      </c>
    </row>
    <row r="442" spans="1:6" ht="43.5" x14ac:dyDescent="0.25">
      <c r="A442" s="286" t="s">
        <v>344</v>
      </c>
      <c r="B442" s="13" t="s">
        <v>345</v>
      </c>
      <c r="C442" s="286" t="s">
        <v>125</v>
      </c>
      <c r="D442" s="177">
        <v>4</v>
      </c>
      <c r="E442" s="178">
        <v>243668</v>
      </c>
      <c r="F442" s="178">
        <f>ROUND(D442*E442,0)</f>
        <v>974672</v>
      </c>
    </row>
    <row r="443" spans="1:6" x14ac:dyDescent="0.25">
      <c r="A443" s="286">
        <v>2</v>
      </c>
      <c r="B443" s="11" t="s">
        <v>347</v>
      </c>
      <c r="C443" s="286"/>
      <c r="D443" s="177"/>
      <c r="E443" s="178" t="s">
        <v>1</v>
      </c>
      <c r="F443" s="178"/>
    </row>
    <row r="444" spans="1:6" x14ac:dyDescent="0.25">
      <c r="A444" s="286" t="s">
        <v>348</v>
      </c>
      <c r="B444" s="19" t="s">
        <v>349</v>
      </c>
      <c r="C444" s="286" t="s">
        <v>115</v>
      </c>
      <c r="D444" s="177">
        <v>1.2</v>
      </c>
      <c r="E444" s="178">
        <v>141463</v>
      </c>
      <c r="F444" s="178">
        <f>ROUND(D444*E444,0)</f>
        <v>169756</v>
      </c>
    </row>
    <row r="445" spans="1:6" ht="29.25" x14ac:dyDescent="0.25">
      <c r="A445" s="286">
        <v>2.2000000000000002</v>
      </c>
      <c r="B445" s="13" t="s">
        <v>350</v>
      </c>
      <c r="C445" s="286" t="s">
        <v>115</v>
      </c>
      <c r="D445" s="177">
        <v>1</v>
      </c>
      <c r="E445" s="178">
        <v>114584</v>
      </c>
      <c r="F445" s="178">
        <f>ROUND(D445*E445,0)</f>
        <v>114584</v>
      </c>
    </row>
    <row r="446" spans="1:6" ht="29.25" x14ac:dyDescent="0.25">
      <c r="A446" s="286" t="s">
        <v>351</v>
      </c>
      <c r="B446" s="13" t="s">
        <v>464</v>
      </c>
      <c r="C446" s="286" t="s">
        <v>115</v>
      </c>
      <c r="D446" s="177">
        <v>2.94</v>
      </c>
      <c r="E446" s="178">
        <v>107656</v>
      </c>
      <c r="F446" s="178">
        <f>ROUND(D446*E446,0)</f>
        <v>316509</v>
      </c>
    </row>
    <row r="447" spans="1:6" ht="29.25" x14ac:dyDescent="0.25">
      <c r="A447" s="286" t="s">
        <v>515</v>
      </c>
      <c r="B447" s="17" t="s">
        <v>527</v>
      </c>
      <c r="C447" s="286" t="s">
        <v>115</v>
      </c>
      <c r="D447" s="177">
        <v>14.77</v>
      </c>
      <c r="E447" s="178">
        <v>114583</v>
      </c>
      <c r="F447" s="178">
        <f>ROUND(D447*E447,0)</f>
        <v>1692391</v>
      </c>
    </row>
    <row r="448" spans="1:6" x14ac:dyDescent="0.25">
      <c r="A448" s="286">
        <v>3</v>
      </c>
      <c r="B448" s="179" t="s">
        <v>353</v>
      </c>
      <c r="C448" s="286"/>
      <c r="D448" s="177"/>
      <c r="E448" s="178" t="s">
        <v>1</v>
      </c>
      <c r="F448" s="178"/>
    </row>
    <row r="449" spans="1:6" ht="29.25" x14ac:dyDescent="0.25">
      <c r="A449" s="286" t="s">
        <v>354</v>
      </c>
      <c r="B449" s="13" t="s">
        <v>355</v>
      </c>
      <c r="C449" s="286" t="s">
        <v>115</v>
      </c>
      <c r="D449" s="177">
        <v>121.95</v>
      </c>
      <c r="E449" s="178">
        <v>36641</v>
      </c>
      <c r="F449" s="178">
        <f>ROUND(D449*E449,0)</f>
        <v>4468370</v>
      </c>
    </row>
    <row r="450" spans="1:6" x14ac:dyDescent="0.25">
      <c r="A450" s="286">
        <v>4</v>
      </c>
      <c r="B450" s="179" t="s">
        <v>356</v>
      </c>
      <c r="C450" s="286"/>
      <c r="D450" s="177"/>
      <c r="E450" s="178" t="s">
        <v>1</v>
      </c>
      <c r="F450" s="178"/>
    </row>
    <row r="451" spans="1:6" ht="29.25" x14ac:dyDescent="0.25">
      <c r="A451" s="286" t="s">
        <v>357</v>
      </c>
      <c r="B451" s="13" t="s">
        <v>358</v>
      </c>
      <c r="C451" s="286" t="s">
        <v>115</v>
      </c>
      <c r="D451" s="177">
        <v>168.87</v>
      </c>
      <c r="E451" s="178">
        <v>30196</v>
      </c>
      <c r="F451" s="178">
        <f>ROUND(D451*E451,0)</f>
        <v>5099199</v>
      </c>
    </row>
    <row r="452" spans="1:6" x14ac:dyDescent="0.25">
      <c r="A452" s="286">
        <v>4.2</v>
      </c>
      <c r="B452" s="13" t="s">
        <v>359</v>
      </c>
      <c r="C452" s="286" t="s">
        <v>115</v>
      </c>
      <c r="D452" s="177">
        <v>30.76</v>
      </c>
      <c r="E452" s="178">
        <v>35903</v>
      </c>
      <c r="F452" s="178">
        <f>ROUND(D452*E452,0)</f>
        <v>1104376</v>
      </c>
    </row>
    <row r="453" spans="1:6" x14ac:dyDescent="0.25">
      <c r="A453" s="286">
        <v>4.3</v>
      </c>
      <c r="B453" s="13" t="s">
        <v>407</v>
      </c>
      <c r="C453" s="286" t="s">
        <v>18</v>
      </c>
      <c r="D453" s="177">
        <v>50</v>
      </c>
      <c r="E453" s="178">
        <v>34497</v>
      </c>
      <c r="F453" s="178">
        <f>ROUND(D453*E453,0)</f>
        <v>1724850</v>
      </c>
    </row>
    <row r="454" spans="1:6" x14ac:dyDescent="0.25">
      <c r="A454" s="286"/>
      <c r="B454" s="13"/>
      <c r="C454" s="286"/>
      <c r="D454" s="177"/>
      <c r="E454" s="178" t="s">
        <v>1</v>
      </c>
      <c r="F454" s="178"/>
    </row>
    <row r="455" spans="1:6" x14ac:dyDescent="0.25">
      <c r="A455" s="286">
        <v>5</v>
      </c>
      <c r="B455" s="179" t="s">
        <v>361</v>
      </c>
      <c r="C455" s="286"/>
      <c r="D455" s="177"/>
      <c r="E455" s="178" t="s">
        <v>1</v>
      </c>
      <c r="F455" s="178"/>
    </row>
    <row r="456" spans="1:6" ht="29.25" x14ac:dyDescent="0.25">
      <c r="A456" s="286" t="s">
        <v>362</v>
      </c>
      <c r="B456" s="13" t="s">
        <v>363</v>
      </c>
      <c r="C456" s="286" t="s">
        <v>115</v>
      </c>
      <c r="D456" s="177">
        <v>146.56</v>
      </c>
      <c r="E456" s="178">
        <v>24785</v>
      </c>
      <c r="F456" s="178">
        <f>ROUND(D456*E456,0)</f>
        <v>3632490</v>
      </c>
    </row>
    <row r="457" spans="1:6" ht="29.25" x14ac:dyDescent="0.25">
      <c r="A457" s="286" t="s">
        <v>364</v>
      </c>
      <c r="B457" s="13" t="s">
        <v>365</v>
      </c>
      <c r="C457" s="286" t="s">
        <v>115</v>
      </c>
      <c r="D457" s="177">
        <v>30.76</v>
      </c>
      <c r="E457" s="178">
        <v>106445</v>
      </c>
      <c r="F457" s="178">
        <f>ROUND(D457*E457,0)</f>
        <v>3274248</v>
      </c>
    </row>
    <row r="458" spans="1:6" x14ac:dyDescent="0.25">
      <c r="A458" s="286"/>
      <c r="B458" s="13"/>
      <c r="C458" s="286"/>
      <c r="D458" s="177"/>
      <c r="E458" s="178" t="s">
        <v>1</v>
      </c>
      <c r="F458" s="178"/>
    </row>
    <row r="459" spans="1:6" ht="30" x14ac:dyDescent="0.25">
      <c r="A459" s="286">
        <v>6</v>
      </c>
      <c r="B459" s="179" t="s">
        <v>366</v>
      </c>
      <c r="C459" s="286"/>
      <c r="D459" s="177"/>
      <c r="E459" s="178" t="s">
        <v>1</v>
      </c>
      <c r="F459" s="178"/>
    </row>
    <row r="460" spans="1:6" ht="29.25" x14ac:dyDescent="0.25">
      <c r="A460" s="286" t="s">
        <v>367</v>
      </c>
      <c r="B460" s="13" t="s">
        <v>368</v>
      </c>
      <c r="C460" s="286" t="s">
        <v>115</v>
      </c>
      <c r="D460" s="177">
        <v>2.16</v>
      </c>
      <c r="E460" s="178">
        <v>99425</v>
      </c>
      <c r="F460" s="178">
        <f>ROUND(D460*E460,0)</f>
        <v>214758</v>
      </c>
    </row>
    <row r="461" spans="1:6" ht="43.5" x14ac:dyDescent="0.25">
      <c r="A461" s="286">
        <v>6.2</v>
      </c>
      <c r="B461" s="13" t="s">
        <v>519</v>
      </c>
      <c r="C461" s="286" t="s">
        <v>115</v>
      </c>
      <c r="D461" s="177">
        <v>24.61</v>
      </c>
      <c r="E461" s="178">
        <v>190032</v>
      </c>
      <c r="F461" s="178">
        <f>ROUND(D461*E461,0)</f>
        <v>4676688</v>
      </c>
    </row>
    <row r="462" spans="1:6" ht="29.25" x14ac:dyDescent="0.25">
      <c r="A462" s="286">
        <v>6.3</v>
      </c>
      <c r="B462" s="13" t="s">
        <v>370</v>
      </c>
      <c r="C462" s="286" t="s">
        <v>115</v>
      </c>
      <c r="D462" s="177">
        <v>44.51</v>
      </c>
      <c r="E462" s="178">
        <v>100848</v>
      </c>
      <c r="F462" s="178">
        <f>ROUND(D462*E462,0)</f>
        <v>4488744</v>
      </c>
    </row>
    <row r="463" spans="1:6" x14ac:dyDescent="0.25">
      <c r="A463" s="286"/>
      <c r="B463" s="13"/>
      <c r="C463" s="286"/>
      <c r="D463" s="177"/>
      <c r="E463" s="178" t="s">
        <v>1</v>
      </c>
      <c r="F463" s="178"/>
    </row>
    <row r="464" spans="1:6" x14ac:dyDescent="0.25">
      <c r="A464" s="286">
        <v>7</v>
      </c>
      <c r="B464" s="179" t="s">
        <v>371</v>
      </c>
      <c r="C464" s="286"/>
      <c r="D464" s="177"/>
      <c r="E464" s="178" t="s">
        <v>1</v>
      </c>
      <c r="F464" s="178"/>
    </row>
    <row r="465" spans="1:6" ht="43.5" x14ac:dyDescent="0.25">
      <c r="A465" s="286" t="s">
        <v>372</v>
      </c>
      <c r="B465" s="13" t="s">
        <v>523</v>
      </c>
      <c r="C465" s="286" t="s">
        <v>18</v>
      </c>
      <c r="D465" s="177">
        <f>6*16</f>
        <v>96</v>
      </c>
      <c r="E465" s="178">
        <v>13960</v>
      </c>
      <c r="F465" s="178">
        <f t="shared" ref="F465:F473" si="26">ROUND(D465*E465,0)</f>
        <v>1340160</v>
      </c>
    </row>
    <row r="466" spans="1:6" ht="43.5" x14ac:dyDescent="0.25">
      <c r="A466" s="286" t="s">
        <v>374</v>
      </c>
      <c r="B466" s="13" t="s">
        <v>524</v>
      </c>
      <c r="C466" s="286" t="s">
        <v>18</v>
      </c>
      <c r="D466" s="177">
        <v>77</v>
      </c>
      <c r="E466" s="178">
        <v>27441</v>
      </c>
      <c r="F466" s="178">
        <f t="shared" si="26"/>
        <v>2112957</v>
      </c>
    </row>
    <row r="467" spans="1:6" ht="29.25" x14ac:dyDescent="0.25">
      <c r="A467" s="286">
        <v>7.3</v>
      </c>
      <c r="B467" s="13" t="s">
        <v>377</v>
      </c>
      <c r="C467" s="286" t="s">
        <v>125</v>
      </c>
      <c r="D467" s="177">
        <v>2</v>
      </c>
      <c r="E467" s="178">
        <v>103880</v>
      </c>
      <c r="F467" s="178">
        <f t="shared" si="26"/>
        <v>207760</v>
      </c>
    </row>
    <row r="468" spans="1:6" ht="29.25" x14ac:dyDescent="0.25">
      <c r="A468" s="286">
        <v>7.4</v>
      </c>
      <c r="B468" s="13" t="s">
        <v>379</v>
      </c>
      <c r="C468" s="286" t="s">
        <v>125</v>
      </c>
      <c r="D468" s="177">
        <v>5</v>
      </c>
      <c r="E468" s="178">
        <v>69353</v>
      </c>
      <c r="F468" s="178">
        <f t="shared" si="26"/>
        <v>346765</v>
      </c>
    </row>
    <row r="469" spans="1:6" ht="29.25" x14ac:dyDescent="0.25">
      <c r="A469" s="286">
        <v>7.6</v>
      </c>
      <c r="B469" s="13" t="s">
        <v>383</v>
      </c>
      <c r="C469" s="286" t="s">
        <v>125</v>
      </c>
      <c r="D469" s="177">
        <v>2</v>
      </c>
      <c r="E469" s="178">
        <v>605385</v>
      </c>
      <c r="F469" s="178">
        <f t="shared" si="26"/>
        <v>1210770</v>
      </c>
    </row>
    <row r="470" spans="1:6" ht="29.25" x14ac:dyDescent="0.25">
      <c r="A470" s="286">
        <v>7.7</v>
      </c>
      <c r="B470" s="13" t="s">
        <v>385</v>
      </c>
      <c r="C470" s="286" t="s">
        <v>125</v>
      </c>
      <c r="D470" s="177">
        <v>2</v>
      </c>
      <c r="E470" s="178">
        <v>574732</v>
      </c>
      <c r="F470" s="178">
        <f t="shared" si="26"/>
        <v>1149464</v>
      </c>
    </row>
    <row r="471" spans="1:6" ht="29.25" x14ac:dyDescent="0.25">
      <c r="A471" s="286">
        <v>7.8</v>
      </c>
      <c r="B471" s="13" t="s">
        <v>387</v>
      </c>
      <c r="C471" s="286" t="s">
        <v>23</v>
      </c>
      <c r="D471" s="177">
        <v>16</v>
      </c>
      <c r="E471" s="178">
        <v>419235</v>
      </c>
      <c r="F471" s="178">
        <f t="shared" si="26"/>
        <v>6707760</v>
      </c>
    </row>
    <row r="472" spans="1:6" ht="57.75" x14ac:dyDescent="0.25">
      <c r="A472" s="322" t="s">
        <v>388</v>
      </c>
      <c r="B472" s="13" t="s">
        <v>525</v>
      </c>
      <c r="C472" s="286" t="s">
        <v>125</v>
      </c>
      <c r="D472" s="177">
        <v>2</v>
      </c>
      <c r="E472" s="178">
        <v>779473</v>
      </c>
      <c r="F472" s="178">
        <f t="shared" si="26"/>
        <v>1558946</v>
      </c>
    </row>
    <row r="473" spans="1:6" x14ac:dyDescent="0.25">
      <c r="A473" s="286" t="s">
        <v>390</v>
      </c>
      <c r="B473" s="13" t="s">
        <v>526</v>
      </c>
      <c r="C473" s="286" t="s">
        <v>125</v>
      </c>
      <c r="D473" s="177">
        <v>16</v>
      </c>
      <c r="E473" s="178">
        <v>66314</v>
      </c>
      <c r="F473" s="178">
        <f t="shared" si="26"/>
        <v>1061024</v>
      </c>
    </row>
    <row r="474" spans="1:6" x14ac:dyDescent="0.25">
      <c r="A474" s="286">
        <v>8</v>
      </c>
      <c r="B474" s="179" t="s">
        <v>394</v>
      </c>
      <c r="C474" s="286"/>
      <c r="D474" s="177"/>
      <c r="E474" s="178"/>
      <c r="F474" s="178"/>
    </row>
    <row r="475" spans="1:6" x14ac:dyDescent="0.25">
      <c r="A475" s="286" t="s">
        <v>395</v>
      </c>
      <c r="B475" s="13" t="s">
        <v>396</v>
      </c>
      <c r="C475" s="286" t="s">
        <v>18</v>
      </c>
      <c r="D475" s="177">
        <v>403.6</v>
      </c>
      <c r="E475" s="178">
        <v>14248</v>
      </c>
      <c r="F475" s="178">
        <f>ROUND(D475*E475,0)</f>
        <v>5750493</v>
      </c>
    </row>
    <row r="476" spans="1:6" ht="42.75" x14ac:dyDescent="0.25">
      <c r="A476" s="286" t="s">
        <v>397</v>
      </c>
      <c r="B476" s="9" t="s">
        <v>398</v>
      </c>
      <c r="C476" s="286" t="s">
        <v>115</v>
      </c>
      <c r="D476" s="177">
        <v>1.2</v>
      </c>
      <c r="E476" s="178">
        <v>1114387</v>
      </c>
      <c r="F476" s="178">
        <f>ROUND(D476*E476,0)</f>
        <v>1337264</v>
      </c>
    </row>
    <row r="477" spans="1:6" ht="57" x14ac:dyDescent="0.25">
      <c r="A477" s="286">
        <v>8.3000000000000007</v>
      </c>
      <c r="B477" s="9" t="s">
        <v>399</v>
      </c>
      <c r="C477" s="286" t="s">
        <v>115</v>
      </c>
      <c r="D477" s="177">
        <v>14.77</v>
      </c>
      <c r="E477" s="178">
        <v>1293400</v>
      </c>
      <c r="F477" s="178">
        <f>ROUND(D477*E477,0)</f>
        <v>19103518</v>
      </c>
    </row>
    <row r="478" spans="1:6" ht="29.25" x14ac:dyDescent="0.25">
      <c r="A478" s="286">
        <v>8.4</v>
      </c>
      <c r="B478" s="181" t="s">
        <v>400</v>
      </c>
      <c r="C478" s="286" t="s">
        <v>115</v>
      </c>
      <c r="D478" s="177">
        <v>2.19</v>
      </c>
      <c r="E478" s="178">
        <v>761635</v>
      </c>
      <c r="F478" s="178">
        <f>ROUND(D478*E478,0)</f>
        <v>1667981</v>
      </c>
    </row>
    <row r="479" spans="1:6" x14ac:dyDescent="0.25">
      <c r="A479" s="219"/>
      <c r="B479" s="18" t="s">
        <v>56</v>
      </c>
      <c r="C479" s="54"/>
      <c r="D479" s="130"/>
      <c r="E479" s="28"/>
      <c r="F479" s="79">
        <f>SUM(F440:F478)</f>
        <v>78199985</v>
      </c>
    </row>
    <row r="480" spans="1:6" x14ac:dyDescent="0.25">
      <c r="A480" s="19"/>
      <c r="B480" s="19" t="s">
        <v>60</v>
      </c>
      <c r="C480" s="19"/>
      <c r="D480" s="19"/>
      <c r="E480" s="19"/>
      <c r="F480" s="29">
        <f>ROUND(F479/1.3495,0)</f>
        <v>57947377</v>
      </c>
    </row>
    <row r="481" spans="1:6" x14ac:dyDescent="0.25">
      <c r="A481" s="19"/>
      <c r="B481" s="19" t="s">
        <v>61</v>
      </c>
      <c r="C481" s="131">
        <v>0.24</v>
      </c>
      <c r="D481" s="19"/>
      <c r="E481" s="19"/>
      <c r="F481" s="29">
        <f>ROUND(F480*C481,0)</f>
        <v>13907370</v>
      </c>
    </row>
    <row r="482" spans="1:6" x14ac:dyDescent="0.25">
      <c r="A482" s="19"/>
      <c r="B482" s="19" t="s">
        <v>57</v>
      </c>
      <c r="C482" s="131">
        <v>0.05</v>
      </c>
      <c r="D482" s="19"/>
      <c r="E482" s="19"/>
      <c r="F482" s="29">
        <f>ROUND(F480*C482,0)</f>
        <v>2897369</v>
      </c>
    </row>
    <row r="483" spans="1:6" x14ac:dyDescent="0.25">
      <c r="A483" s="19"/>
      <c r="B483" s="19" t="s">
        <v>62</v>
      </c>
      <c r="C483" s="131">
        <v>0.05</v>
      </c>
      <c r="D483" s="19"/>
      <c r="E483" s="19"/>
      <c r="F483" s="29">
        <f>ROUND(F480*C483,0)</f>
        <v>2897369</v>
      </c>
    </row>
    <row r="484" spans="1:6" x14ac:dyDescent="0.25">
      <c r="A484" s="19"/>
      <c r="B484" s="132" t="s">
        <v>63</v>
      </c>
      <c r="C484" s="133">
        <v>0.19</v>
      </c>
      <c r="D484" s="120"/>
      <c r="E484" s="120"/>
      <c r="F484" s="35">
        <f>ROUND(F483*19%,0)</f>
        <v>550500</v>
      </c>
    </row>
    <row r="485" spans="1:6" x14ac:dyDescent="0.25">
      <c r="A485" s="19"/>
      <c r="B485" s="18" t="s">
        <v>56</v>
      </c>
      <c r="C485" s="19"/>
      <c r="D485" s="19"/>
      <c r="E485" s="19"/>
      <c r="F485" s="30">
        <f>SUM(F480:F484)</f>
        <v>78199985</v>
      </c>
    </row>
    <row r="486" spans="1:6" x14ac:dyDescent="0.25">
      <c r="A486" s="81"/>
      <c r="B486" s="81"/>
      <c r="C486" s="81"/>
      <c r="D486" s="81"/>
      <c r="E486" s="81"/>
      <c r="F486" s="81"/>
    </row>
    <row r="487" spans="1:6" ht="53.25" customHeight="1" x14ac:dyDescent="0.25">
      <c r="A487" s="489" t="s">
        <v>978</v>
      </c>
      <c r="B487" s="489"/>
      <c r="C487" s="489"/>
      <c r="D487" s="489"/>
      <c r="E487" s="489"/>
      <c r="F487" s="489"/>
    </row>
    <row r="488" spans="1:6" x14ac:dyDescent="0.25">
      <c r="A488" s="219" t="s">
        <v>421</v>
      </c>
      <c r="B488" s="219" t="s">
        <v>422</v>
      </c>
      <c r="C488" s="219" t="s">
        <v>423</v>
      </c>
      <c r="D488" s="219" t="s">
        <v>13</v>
      </c>
      <c r="E488" s="219" t="s">
        <v>424</v>
      </c>
      <c r="F488" s="219" t="s">
        <v>425</v>
      </c>
    </row>
    <row r="489" spans="1:6" x14ac:dyDescent="0.25">
      <c r="A489" s="222" t="s">
        <v>338</v>
      </c>
      <c r="B489" s="20" t="s">
        <v>16</v>
      </c>
      <c r="C489" s="222"/>
      <c r="D489" s="186"/>
      <c r="E489" s="187"/>
      <c r="F489" s="187"/>
    </row>
    <row r="490" spans="1:6" ht="28.5" x14ac:dyDescent="0.25">
      <c r="A490" s="222" t="s">
        <v>339</v>
      </c>
      <c r="B490" s="132" t="s">
        <v>534</v>
      </c>
      <c r="C490" s="222" t="s">
        <v>341</v>
      </c>
      <c r="D490" s="186">
        <v>220</v>
      </c>
      <c r="E490" s="187">
        <v>7564</v>
      </c>
      <c r="F490" s="187">
        <f>ROUND(D490*E490,0)</f>
        <v>1664080</v>
      </c>
    </row>
    <row r="491" spans="1:6" x14ac:dyDescent="0.25">
      <c r="A491" s="222" t="s">
        <v>344</v>
      </c>
      <c r="B491" s="120" t="s">
        <v>535</v>
      </c>
      <c r="C491" s="222" t="s">
        <v>20</v>
      </c>
      <c r="D491" s="186">
        <v>660</v>
      </c>
      <c r="E491" s="187">
        <v>1841</v>
      </c>
      <c r="F491" s="187">
        <f>ROUND(D491*E491,0)</f>
        <v>1215060</v>
      </c>
    </row>
    <row r="492" spans="1:6" x14ac:dyDescent="0.25">
      <c r="A492" s="222">
        <v>2</v>
      </c>
      <c r="B492" s="20" t="s">
        <v>347</v>
      </c>
      <c r="C492" s="222"/>
      <c r="D492" s="186"/>
      <c r="E492" s="187" t="s">
        <v>1</v>
      </c>
      <c r="F492" s="187"/>
    </row>
    <row r="493" spans="1:6" ht="28.5" x14ac:dyDescent="0.25">
      <c r="A493" s="222" t="s">
        <v>348</v>
      </c>
      <c r="B493" s="132" t="s">
        <v>536</v>
      </c>
      <c r="C493" s="222" t="s">
        <v>115</v>
      </c>
      <c r="D493" s="186">
        <v>2.2000000000000002</v>
      </c>
      <c r="E493" s="187">
        <v>114583</v>
      </c>
      <c r="F493" s="187">
        <f>ROUND(D493*E493,0)</f>
        <v>252083</v>
      </c>
    </row>
    <row r="494" spans="1:6" ht="28.5" x14ac:dyDescent="0.25">
      <c r="A494" s="222" t="s">
        <v>461</v>
      </c>
      <c r="B494" s="132" t="s">
        <v>537</v>
      </c>
      <c r="C494" s="222" t="s">
        <v>115</v>
      </c>
      <c r="D494" s="186">
        <v>1.5</v>
      </c>
      <c r="E494" s="187">
        <v>104964</v>
      </c>
      <c r="F494" s="187">
        <f>ROUND(D494*E494,0)</f>
        <v>157446</v>
      </c>
    </row>
    <row r="495" spans="1:6" x14ac:dyDescent="0.25">
      <c r="A495" s="222">
        <v>3</v>
      </c>
      <c r="B495" s="195" t="s">
        <v>538</v>
      </c>
      <c r="C495" s="222"/>
      <c r="D495" s="186"/>
      <c r="E495" s="187" t="s">
        <v>1</v>
      </c>
      <c r="F495" s="187"/>
    </row>
    <row r="496" spans="1:6" ht="71.25" x14ac:dyDescent="0.25">
      <c r="A496" s="222">
        <v>3.1</v>
      </c>
      <c r="B496" s="132" t="s">
        <v>539</v>
      </c>
      <c r="C496" s="222" t="s">
        <v>540</v>
      </c>
      <c r="D496" s="186">
        <v>72</v>
      </c>
      <c r="E496" s="187">
        <v>205401</v>
      </c>
      <c r="F496" s="187">
        <f>+D496*E496</f>
        <v>14788872</v>
      </c>
    </row>
    <row r="497" spans="1:6" x14ac:dyDescent="0.25">
      <c r="A497" s="222">
        <v>4</v>
      </c>
      <c r="B497" s="195" t="s">
        <v>353</v>
      </c>
      <c r="C497" s="222"/>
      <c r="D497" s="186"/>
      <c r="E497" s="187" t="s">
        <v>1</v>
      </c>
      <c r="F497" s="187"/>
    </row>
    <row r="498" spans="1:6" ht="28.5" x14ac:dyDescent="0.25">
      <c r="A498" s="222" t="s">
        <v>357</v>
      </c>
      <c r="B498" s="132" t="s">
        <v>541</v>
      </c>
      <c r="C498" s="222" t="s">
        <v>542</v>
      </c>
      <c r="D498" s="186">
        <v>88.8</v>
      </c>
      <c r="E498" s="187">
        <v>76101</v>
      </c>
      <c r="F498" s="187">
        <f>ROUND(D498*E498,0)</f>
        <v>6757769</v>
      </c>
    </row>
    <row r="499" spans="1:6" ht="28.5" x14ac:dyDescent="0.25">
      <c r="A499" s="222" t="s">
        <v>543</v>
      </c>
      <c r="B499" s="132" t="s">
        <v>544</v>
      </c>
      <c r="C499" s="222" t="s">
        <v>115</v>
      </c>
      <c r="D499" s="186">
        <v>41.53</v>
      </c>
      <c r="E499" s="187">
        <v>14888</v>
      </c>
      <c r="F499" s="187">
        <f>ROUND(D499*E499,0)</f>
        <v>618299</v>
      </c>
    </row>
    <row r="500" spans="1:6" x14ac:dyDescent="0.25">
      <c r="A500" s="222">
        <v>5</v>
      </c>
      <c r="B500" s="195" t="s">
        <v>356</v>
      </c>
      <c r="C500" s="222"/>
      <c r="D500" s="186"/>
      <c r="E500" s="187" t="s">
        <v>1</v>
      </c>
      <c r="F500" s="187"/>
    </row>
    <row r="501" spans="1:6" ht="28.5" x14ac:dyDescent="0.25">
      <c r="A501" s="222" t="s">
        <v>362</v>
      </c>
      <c r="B501" s="132" t="s">
        <v>545</v>
      </c>
      <c r="C501" s="222" t="s">
        <v>115</v>
      </c>
      <c r="D501" s="186">
        <v>143.19999999999999</v>
      </c>
      <c r="E501" s="187">
        <v>30196</v>
      </c>
      <c r="F501" s="187">
        <f>ROUND(D501*E501,0)</f>
        <v>4324067</v>
      </c>
    </row>
    <row r="502" spans="1:6" x14ac:dyDescent="0.25">
      <c r="A502" s="222" t="s">
        <v>364</v>
      </c>
      <c r="B502" s="132" t="s">
        <v>546</v>
      </c>
      <c r="C502" s="222" t="s">
        <v>115</v>
      </c>
      <c r="D502" s="186">
        <v>3.5</v>
      </c>
      <c r="E502" s="187">
        <v>35903</v>
      </c>
      <c r="F502" s="187">
        <f>ROUND(D502*E502,0)</f>
        <v>125661</v>
      </c>
    </row>
    <row r="503" spans="1:6" x14ac:dyDescent="0.25">
      <c r="A503" s="222">
        <v>6</v>
      </c>
      <c r="B503" s="195" t="s">
        <v>361</v>
      </c>
      <c r="C503" s="222"/>
      <c r="D503" s="186"/>
      <c r="E503" s="187" t="s">
        <v>1</v>
      </c>
      <c r="F503" s="187"/>
    </row>
    <row r="504" spans="1:6" ht="28.5" x14ac:dyDescent="0.25">
      <c r="A504" s="222" t="s">
        <v>367</v>
      </c>
      <c r="B504" s="132" t="s">
        <v>363</v>
      </c>
      <c r="C504" s="222" t="s">
        <v>115</v>
      </c>
      <c r="D504" s="186">
        <v>95.04</v>
      </c>
      <c r="E504" s="187">
        <v>24785</v>
      </c>
      <c r="F504" s="187">
        <f>ROUND(D504*E504,0)</f>
        <v>2355566</v>
      </c>
    </row>
    <row r="505" spans="1:6" ht="57" x14ac:dyDescent="0.25">
      <c r="A505" s="222" t="s">
        <v>547</v>
      </c>
      <c r="B505" s="132" t="s">
        <v>548</v>
      </c>
      <c r="C505" s="222" t="s">
        <v>115</v>
      </c>
      <c r="D505" s="186">
        <v>74.650000000000006</v>
      </c>
      <c r="E505" s="187">
        <v>106445</v>
      </c>
      <c r="F505" s="187">
        <f>ROUND(D505*E505,0)</f>
        <v>7946119</v>
      </c>
    </row>
    <row r="506" spans="1:6" x14ac:dyDescent="0.25">
      <c r="A506" s="222">
        <v>7</v>
      </c>
      <c r="B506" s="195" t="s">
        <v>371</v>
      </c>
      <c r="C506" s="222"/>
      <c r="D506" s="186"/>
      <c r="E506" s="187" t="s">
        <v>1</v>
      </c>
      <c r="F506" s="187"/>
    </row>
    <row r="507" spans="1:6" ht="42.75" x14ac:dyDescent="0.25">
      <c r="A507" s="222" t="s">
        <v>372</v>
      </c>
      <c r="B507" s="132" t="s">
        <v>549</v>
      </c>
      <c r="C507" s="222" t="s">
        <v>18</v>
      </c>
      <c r="D507" s="186">
        <v>72</v>
      </c>
      <c r="E507" s="187">
        <v>45735</v>
      </c>
      <c r="F507" s="187">
        <f t="shared" ref="F507:F518" si="27">ROUND(D507*E507,0)</f>
        <v>3292920</v>
      </c>
    </row>
    <row r="508" spans="1:6" ht="28.5" x14ac:dyDescent="0.25">
      <c r="A508" s="222" t="s">
        <v>411</v>
      </c>
      <c r="B508" s="132" t="s">
        <v>550</v>
      </c>
      <c r="C508" s="222" t="s">
        <v>18</v>
      </c>
      <c r="D508" s="186">
        <v>144</v>
      </c>
      <c r="E508" s="187">
        <v>13720</v>
      </c>
      <c r="F508" s="187">
        <f t="shared" si="27"/>
        <v>1975680</v>
      </c>
    </row>
    <row r="509" spans="1:6" ht="28.5" x14ac:dyDescent="0.25">
      <c r="A509" s="323" t="s">
        <v>374</v>
      </c>
      <c r="B509" s="132" t="s">
        <v>551</v>
      </c>
      <c r="C509" s="222" t="s">
        <v>18</v>
      </c>
      <c r="D509" s="186">
        <v>60</v>
      </c>
      <c r="E509" s="187">
        <v>22867</v>
      </c>
      <c r="F509" s="187">
        <f t="shared" si="27"/>
        <v>1372020</v>
      </c>
    </row>
    <row r="510" spans="1:6" ht="28.5" x14ac:dyDescent="0.25">
      <c r="A510" s="222" t="s">
        <v>376</v>
      </c>
      <c r="B510" s="132" t="s">
        <v>552</v>
      </c>
      <c r="C510" s="222" t="s">
        <v>125</v>
      </c>
      <c r="D510" s="186">
        <v>5</v>
      </c>
      <c r="E510" s="187">
        <v>103880</v>
      </c>
      <c r="F510" s="187">
        <f t="shared" si="27"/>
        <v>519400</v>
      </c>
    </row>
    <row r="511" spans="1:6" ht="42.75" x14ac:dyDescent="0.25">
      <c r="A511" s="222" t="s">
        <v>378</v>
      </c>
      <c r="B511" s="132" t="s">
        <v>553</v>
      </c>
      <c r="C511" s="222" t="s">
        <v>18</v>
      </c>
      <c r="D511" s="186">
        <v>3.1</v>
      </c>
      <c r="E511" s="187">
        <v>721405</v>
      </c>
      <c r="F511" s="187">
        <f t="shared" si="27"/>
        <v>2236356</v>
      </c>
    </row>
    <row r="512" spans="1:6" ht="28.5" x14ac:dyDescent="0.25">
      <c r="A512" s="222" t="s">
        <v>380</v>
      </c>
      <c r="B512" s="132" t="s">
        <v>554</v>
      </c>
      <c r="C512" s="222" t="s">
        <v>125</v>
      </c>
      <c r="D512" s="186">
        <v>3</v>
      </c>
      <c r="E512" s="187">
        <v>605385</v>
      </c>
      <c r="F512" s="187">
        <f t="shared" si="27"/>
        <v>1816155</v>
      </c>
    </row>
    <row r="513" spans="1:6" ht="28.5" x14ac:dyDescent="0.25">
      <c r="A513" s="222" t="s">
        <v>555</v>
      </c>
      <c r="B513" s="132" t="s">
        <v>556</v>
      </c>
      <c r="C513" s="222" t="s">
        <v>125</v>
      </c>
      <c r="D513" s="186">
        <v>3</v>
      </c>
      <c r="E513" s="187">
        <v>574732</v>
      </c>
      <c r="F513" s="187">
        <f t="shared" si="27"/>
        <v>1724196</v>
      </c>
    </row>
    <row r="514" spans="1:6" ht="28.5" x14ac:dyDescent="0.25">
      <c r="A514" s="222" t="s">
        <v>384</v>
      </c>
      <c r="B514" s="132" t="s">
        <v>557</v>
      </c>
      <c r="C514" s="222" t="s">
        <v>23</v>
      </c>
      <c r="D514" s="186">
        <v>12</v>
      </c>
      <c r="E514" s="187">
        <v>419235</v>
      </c>
      <c r="F514" s="187">
        <f t="shared" si="27"/>
        <v>5030820</v>
      </c>
    </row>
    <row r="515" spans="1:6" x14ac:dyDescent="0.25">
      <c r="A515" s="222" t="s">
        <v>386</v>
      </c>
      <c r="B515" s="132" t="s">
        <v>558</v>
      </c>
      <c r="C515" s="222" t="s">
        <v>125</v>
      </c>
      <c r="D515" s="186">
        <v>12</v>
      </c>
      <c r="E515" s="187">
        <v>66314</v>
      </c>
      <c r="F515" s="187">
        <f t="shared" si="27"/>
        <v>795768</v>
      </c>
    </row>
    <row r="516" spans="1:6" ht="28.5" x14ac:dyDescent="0.25">
      <c r="A516" s="222" t="s">
        <v>388</v>
      </c>
      <c r="B516" s="9" t="s">
        <v>559</v>
      </c>
      <c r="C516" s="222" t="s">
        <v>125</v>
      </c>
      <c r="D516" s="186">
        <v>1</v>
      </c>
      <c r="E516" s="187">
        <v>206272</v>
      </c>
      <c r="F516" s="187">
        <f t="shared" si="27"/>
        <v>206272</v>
      </c>
    </row>
    <row r="517" spans="1:6" ht="71.25" x14ac:dyDescent="0.25">
      <c r="A517" s="222" t="s">
        <v>390</v>
      </c>
      <c r="B517" s="132" t="s">
        <v>528</v>
      </c>
      <c r="C517" s="222" t="s">
        <v>125</v>
      </c>
      <c r="D517" s="186">
        <v>3</v>
      </c>
      <c r="E517" s="187">
        <v>619281</v>
      </c>
      <c r="F517" s="187">
        <f t="shared" si="27"/>
        <v>1857843</v>
      </c>
    </row>
    <row r="518" spans="1:6" ht="71.25" x14ac:dyDescent="0.25">
      <c r="A518" s="222" t="s">
        <v>392</v>
      </c>
      <c r="B518" s="9" t="s">
        <v>389</v>
      </c>
      <c r="C518" s="222" t="s">
        <v>125</v>
      </c>
      <c r="D518" s="186">
        <v>1</v>
      </c>
      <c r="E518" s="187">
        <v>1875342</v>
      </c>
      <c r="F518" s="187">
        <f t="shared" si="27"/>
        <v>1875342</v>
      </c>
    </row>
    <row r="519" spans="1:6" x14ac:dyDescent="0.25">
      <c r="A519" s="222">
        <v>8</v>
      </c>
      <c r="B519" s="195" t="s">
        <v>394</v>
      </c>
      <c r="C519" s="222"/>
      <c r="D519" s="186"/>
      <c r="E519" s="187" t="s">
        <v>1</v>
      </c>
      <c r="F519" s="187"/>
    </row>
    <row r="520" spans="1:6" ht="28.5" x14ac:dyDescent="0.25">
      <c r="A520" s="222" t="s">
        <v>395</v>
      </c>
      <c r="B520" s="9" t="s">
        <v>529</v>
      </c>
      <c r="C520" s="222" t="s">
        <v>115</v>
      </c>
      <c r="D520" s="186">
        <v>5.7</v>
      </c>
      <c r="E520" s="187">
        <v>726828</v>
      </c>
      <c r="F520" s="187">
        <f>ROUND(D520*E520,0)</f>
        <v>4142920</v>
      </c>
    </row>
    <row r="521" spans="1:6" x14ac:dyDescent="0.25">
      <c r="A521" s="222" t="s">
        <v>397</v>
      </c>
      <c r="B521" s="9" t="s">
        <v>530</v>
      </c>
      <c r="C521" s="222" t="s">
        <v>115</v>
      </c>
      <c r="D521" s="186">
        <v>5.4</v>
      </c>
      <c r="E521" s="187">
        <v>502207</v>
      </c>
      <c r="F521" s="187">
        <f>+D521*E521</f>
        <v>2711917.8000000003</v>
      </c>
    </row>
    <row r="522" spans="1:6" ht="57" x14ac:dyDescent="0.25">
      <c r="A522" s="222" t="s">
        <v>414</v>
      </c>
      <c r="B522" s="9" t="s">
        <v>531</v>
      </c>
      <c r="C522" s="222" t="s">
        <v>115</v>
      </c>
      <c r="D522" s="186">
        <v>2.1</v>
      </c>
      <c r="E522" s="187">
        <v>698434</v>
      </c>
      <c r="F522" s="187">
        <f>+D522*E522</f>
        <v>1466711.4000000001</v>
      </c>
    </row>
    <row r="523" spans="1:6" x14ac:dyDescent="0.25">
      <c r="A523" s="222" t="s">
        <v>415</v>
      </c>
      <c r="B523" s="196" t="s">
        <v>532</v>
      </c>
      <c r="C523" s="222" t="s">
        <v>533</v>
      </c>
      <c r="D523" s="186">
        <v>350</v>
      </c>
      <c r="E523" s="187">
        <v>5335</v>
      </c>
      <c r="F523" s="187">
        <f>ROUND(D523*E523,0)</f>
        <v>1867250</v>
      </c>
    </row>
    <row r="524" spans="1:6" x14ac:dyDescent="0.25">
      <c r="A524" s="250"/>
      <c r="B524" s="250"/>
      <c r="C524" s="250"/>
      <c r="D524" s="250"/>
      <c r="E524" s="250"/>
      <c r="F524" s="250"/>
    </row>
    <row r="525" spans="1:6" x14ac:dyDescent="0.25">
      <c r="A525" s="219"/>
      <c r="B525" s="18" t="s">
        <v>56</v>
      </c>
      <c r="C525" s="54"/>
      <c r="D525" s="130"/>
      <c r="E525" s="28"/>
      <c r="F525" s="79">
        <f>SUM(F490:F523)</f>
        <v>73096593.200000003</v>
      </c>
    </row>
    <row r="526" spans="1:6" x14ac:dyDescent="0.25">
      <c r="A526" s="19"/>
      <c r="B526" s="19" t="s">
        <v>60</v>
      </c>
      <c r="C526" s="19"/>
      <c r="D526" s="19"/>
      <c r="E526" s="19"/>
      <c r="F526" s="29">
        <f>ROUND(F525/1.3495,0)</f>
        <v>54165686</v>
      </c>
    </row>
    <row r="527" spans="1:6" x14ac:dyDescent="0.25">
      <c r="A527" s="19"/>
      <c r="B527" s="19" t="s">
        <v>61</v>
      </c>
      <c r="C527" s="131">
        <v>0.24</v>
      </c>
      <c r="D527" s="19"/>
      <c r="E527" s="19"/>
      <c r="F527" s="29">
        <f>ROUND(F526*C527,0)</f>
        <v>12999765</v>
      </c>
    </row>
    <row r="528" spans="1:6" x14ac:dyDescent="0.25">
      <c r="A528" s="19"/>
      <c r="B528" s="19" t="s">
        <v>57</v>
      </c>
      <c r="C528" s="131">
        <v>0.05</v>
      </c>
      <c r="D528" s="19"/>
      <c r="E528" s="19"/>
      <c r="F528" s="29">
        <f>ROUND(F526*C528,0)</f>
        <v>2708284</v>
      </c>
    </row>
    <row r="529" spans="1:6" x14ac:dyDescent="0.25">
      <c r="A529" s="19"/>
      <c r="B529" s="19" t="s">
        <v>62</v>
      </c>
      <c r="C529" s="131">
        <v>0.05</v>
      </c>
      <c r="D529" s="19"/>
      <c r="E529" s="19"/>
      <c r="F529" s="29">
        <f>ROUND(F526*C529,0)</f>
        <v>2708284</v>
      </c>
    </row>
    <row r="530" spans="1:6" x14ac:dyDescent="0.25">
      <c r="A530" s="19"/>
      <c r="B530" s="132" t="s">
        <v>63</v>
      </c>
      <c r="C530" s="133">
        <v>0.19</v>
      </c>
      <c r="D530" s="120"/>
      <c r="E530" s="120"/>
      <c r="F530" s="35">
        <f>ROUND(F529*19%,0)</f>
        <v>514574</v>
      </c>
    </row>
    <row r="531" spans="1:6" x14ac:dyDescent="0.25">
      <c r="A531" s="19"/>
      <c r="B531" s="18" t="s">
        <v>56</v>
      </c>
      <c r="C531" s="19"/>
      <c r="D531" s="19"/>
      <c r="E531" s="19"/>
      <c r="F531" s="30">
        <f>SUM(F526:F530)</f>
        <v>73096593</v>
      </c>
    </row>
    <row r="532" spans="1:6" x14ac:dyDescent="0.25">
      <c r="A532" s="81"/>
      <c r="B532" s="81"/>
      <c r="C532" s="81"/>
      <c r="D532" s="81"/>
      <c r="E532" s="81"/>
      <c r="F532" s="81"/>
    </row>
    <row r="533" spans="1:6" ht="38.25" customHeight="1" x14ac:dyDescent="0.25">
      <c r="A533" s="490" t="s">
        <v>979</v>
      </c>
      <c r="B533" s="490"/>
      <c r="C533" s="490"/>
      <c r="D533" s="490"/>
      <c r="E533" s="490"/>
      <c r="F533" s="490"/>
    </row>
    <row r="534" spans="1:6" x14ac:dyDescent="0.25">
      <c r="A534" s="54" t="s">
        <v>421</v>
      </c>
      <c r="B534" s="54" t="s">
        <v>422</v>
      </c>
      <c r="C534" s="54" t="s">
        <v>423</v>
      </c>
      <c r="D534" s="54" t="s">
        <v>13</v>
      </c>
      <c r="E534" s="54" t="s">
        <v>424</v>
      </c>
      <c r="F534" s="54" t="s">
        <v>425</v>
      </c>
    </row>
    <row r="535" spans="1:6" x14ac:dyDescent="0.25">
      <c r="A535" s="54"/>
      <c r="B535" s="54"/>
      <c r="C535" s="54"/>
      <c r="D535" s="54"/>
      <c r="E535" s="54"/>
      <c r="F535" s="54"/>
    </row>
    <row r="536" spans="1:6" x14ac:dyDescent="0.25">
      <c r="A536" s="286" t="s">
        <v>338</v>
      </c>
      <c r="B536" s="11" t="s">
        <v>16</v>
      </c>
      <c r="C536" s="286"/>
      <c r="D536" s="177"/>
      <c r="E536" s="178"/>
      <c r="F536" s="178"/>
    </row>
    <row r="537" spans="1:6" ht="43.5" x14ac:dyDescent="0.25">
      <c r="A537" s="286" t="s">
        <v>339</v>
      </c>
      <c r="B537" s="13" t="s">
        <v>340</v>
      </c>
      <c r="C537" s="286" t="s">
        <v>341</v>
      </c>
      <c r="D537" s="177">
        <v>84.5</v>
      </c>
      <c r="E537" s="187">
        <v>7564</v>
      </c>
      <c r="F537" s="178">
        <f>ROUND(D537*E537,0)</f>
        <v>639158</v>
      </c>
    </row>
    <row r="538" spans="1:6" ht="43.5" x14ac:dyDescent="0.25">
      <c r="A538" s="286" t="s">
        <v>342</v>
      </c>
      <c r="B538" s="13" t="s">
        <v>343</v>
      </c>
      <c r="C538" s="286" t="s">
        <v>341</v>
      </c>
      <c r="D538" s="177">
        <v>183</v>
      </c>
      <c r="E538" s="178">
        <v>12418</v>
      </c>
      <c r="F538" s="178">
        <f>ROUND(D538*E538,0)</f>
        <v>2272494</v>
      </c>
    </row>
    <row r="539" spans="1:6" ht="43.5" x14ac:dyDescent="0.25">
      <c r="A539" s="286" t="s">
        <v>344</v>
      </c>
      <c r="B539" s="13" t="s">
        <v>345</v>
      </c>
      <c r="C539" s="286" t="s">
        <v>125</v>
      </c>
      <c r="D539" s="177">
        <v>4</v>
      </c>
      <c r="E539" s="178">
        <v>243668</v>
      </c>
      <c r="F539" s="178">
        <f>ROUND(D539*E539,0)</f>
        <v>974672</v>
      </c>
    </row>
    <row r="540" spans="1:6" x14ac:dyDescent="0.25">
      <c r="A540" s="286">
        <v>2</v>
      </c>
      <c r="B540" s="11" t="s">
        <v>347</v>
      </c>
      <c r="C540" s="286"/>
      <c r="D540" s="177"/>
      <c r="E540" s="178" t="s">
        <v>1</v>
      </c>
      <c r="F540" s="178"/>
    </row>
    <row r="541" spans="1:6" x14ac:dyDescent="0.25">
      <c r="A541" s="286" t="s">
        <v>348</v>
      </c>
      <c r="B541" s="19" t="s">
        <v>349</v>
      </c>
      <c r="C541" s="286" t="s">
        <v>115</v>
      </c>
      <c r="D541" s="177">
        <v>24.57</v>
      </c>
      <c r="E541" s="178">
        <v>141463</v>
      </c>
      <c r="F541" s="178">
        <f>ROUND(D541*E541,0)</f>
        <v>3475746</v>
      </c>
    </row>
    <row r="542" spans="1:6" ht="29.25" x14ac:dyDescent="0.25">
      <c r="A542" s="286">
        <v>2.2000000000000002</v>
      </c>
      <c r="B542" s="13" t="s">
        <v>350</v>
      </c>
      <c r="C542" s="286" t="s">
        <v>115</v>
      </c>
      <c r="D542" s="177">
        <v>1.2</v>
      </c>
      <c r="E542" s="178">
        <v>114584</v>
      </c>
      <c r="F542" s="178">
        <f>ROUND(D542*E542,0)</f>
        <v>137501</v>
      </c>
    </row>
    <row r="543" spans="1:6" ht="29.25" x14ac:dyDescent="0.25">
      <c r="A543" s="286" t="s">
        <v>351</v>
      </c>
      <c r="B543" s="13" t="s">
        <v>464</v>
      </c>
      <c r="C543" s="286" t="s">
        <v>115</v>
      </c>
      <c r="D543" s="177">
        <v>3.69</v>
      </c>
      <c r="E543" s="178">
        <v>107656</v>
      </c>
      <c r="F543" s="178">
        <f>ROUND(D543*E543,0)</f>
        <v>397251</v>
      </c>
    </row>
    <row r="544" spans="1:6" x14ac:dyDescent="0.25">
      <c r="A544" s="286">
        <v>3</v>
      </c>
      <c r="B544" s="179" t="s">
        <v>353</v>
      </c>
      <c r="C544" s="286"/>
      <c r="D544" s="177"/>
      <c r="E544" s="178" t="s">
        <v>1</v>
      </c>
      <c r="F544" s="178"/>
    </row>
    <row r="545" spans="1:6" ht="28.5" x14ac:dyDescent="0.25">
      <c r="A545" s="286" t="s">
        <v>354</v>
      </c>
      <c r="B545" s="132" t="s">
        <v>355</v>
      </c>
      <c r="C545" s="286" t="s">
        <v>115</v>
      </c>
      <c r="D545" s="177">
        <v>133.37</v>
      </c>
      <c r="E545" s="178">
        <v>36641</v>
      </c>
      <c r="F545" s="178">
        <f>ROUND(D545*E545,0)</f>
        <v>4886810</v>
      </c>
    </row>
    <row r="546" spans="1:6" x14ac:dyDescent="0.25">
      <c r="A546" s="286">
        <v>4</v>
      </c>
      <c r="B546" s="179" t="s">
        <v>356</v>
      </c>
      <c r="C546" s="286"/>
      <c r="D546" s="177"/>
      <c r="E546" s="178"/>
      <c r="F546" s="178"/>
    </row>
    <row r="547" spans="1:6" ht="29.25" x14ac:dyDescent="0.25">
      <c r="A547" s="286" t="s">
        <v>357</v>
      </c>
      <c r="B547" s="13" t="s">
        <v>358</v>
      </c>
      <c r="C547" s="286" t="s">
        <v>115</v>
      </c>
      <c r="D547" s="177">
        <v>81.400000000000006</v>
      </c>
      <c r="E547" s="178">
        <v>30196</v>
      </c>
      <c r="F547" s="178">
        <f>ROUND(D547*E547,0)</f>
        <v>2457954</v>
      </c>
    </row>
    <row r="548" spans="1:6" x14ac:dyDescent="0.25">
      <c r="A548" s="286">
        <v>4.2</v>
      </c>
      <c r="B548" s="13" t="s">
        <v>359</v>
      </c>
      <c r="C548" s="286" t="s">
        <v>115</v>
      </c>
      <c r="D548" s="177">
        <v>27.3</v>
      </c>
      <c r="E548" s="178">
        <v>35903</v>
      </c>
      <c r="F548" s="178">
        <f>ROUND(D548*E548,0)</f>
        <v>980152</v>
      </c>
    </row>
    <row r="549" spans="1:6" x14ac:dyDescent="0.25">
      <c r="A549" s="286">
        <v>5</v>
      </c>
      <c r="B549" s="179" t="s">
        <v>361</v>
      </c>
      <c r="C549" s="286"/>
      <c r="D549" s="177"/>
      <c r="E549" s="178"/>
      <c r="F549" s="178"/>
    </row>
    <row r="550" spans="1:6" ht="29.25" x14ac:dyDescent="0.25">
      <c r="A550" s="286" t="s">
        <v>362</v>
      </c>
      <c r="B550" s="13" t="s">
        <v>363</v>
      </c>
      <c r="C550" s="286" t="s">
        <v>115</v>
      </c>
      <c r="D550" s="177">
        <v>35.78</v>
      </c>
      <c r="E550" s="178">
        <v>24785</v>
      </c>
      <c r="F550" s="178">
        <f>ROUND(D550*E550,0)</f>
        <v>886807</v>
      </c>
    </row>
    <row r="551" spans="1:6" ht="29.25" x14ac:dyDescent="0.25">
      <c r="A551" s="286" t="s">
        <v>364</v>
      </c>
      <c r="B551" s="13" t="s">
        <v>365</v>
      </c>
      <c r="C551" s="286" t="s">
        <v>115</v>
      </c>
      <c r="D551" s="177">
        <v>27.3</v>
      </c>
      <c r="E551" s="178">
        <v>106445</v>
      </c>
      <c r="F551" s="178">
        <f>ROUND(D551*E551,0)</f>
        <v>2905949</v>
      </c>
    </row>
    <row r="552" spans="1:6" ht="30" x14ac:dyDescent="0.25">
      <c r="A552" s="286">
        <v>6</v>
      </c>
      <c r="B552" s="179" t="s">
        <v>366</v>
      </c>
      <c r="C552" s="286"/>
      <c r="D552" s="177"/>
      <c r="E552" s="178"/>
      <c r="F552" s="178"/>
    </row>
    <row r="553" spans="1:6" ht="29.25" x14ac:dyDescent="0.25">
      <c r="A553" s="286" t="s">
        <v>367</v>
      </c>
      <c r="B553" s="13" t="s">
        <v>368</v>
      </c>
      <c r="C553" s="286" t="s">
        <v>115</v>
      </c>
      <c r="D553" s="177">
        <v>3.69</v>
      </c>
      <c r="E553" s="178">
        <v>99425</v>
      </c>
      <c r="F553" s="178">
        <f>ROUND(D553*E553,0)</f>
        <v>366878</v>
      </c>
    </row>
    <row r="554" spans="1:6" ht="43.5" x14ac:dyDescent="0.25">
      <c r="A554" s="286">
        <v>6.2</v>
      </c>
      <c r="B554" s="13" t="s">
        <v>519</v>
      </c>
      <c r="C554" s="286" t="s">
        <v>115</v>
      </c>
      <c r="D554" s="177">
        <v>27.3</v>
      </c>
      <c r="E554" s="178">
        <v>190032</v>
      </c>
      <c r="F554" s="178">
        <f>ROUND(D554*E554,0)</f>
        <v>5187874</v>
      </c>
    </row>
    <row r="555" spans="1:6" ht="29.25" x14ac:dyDescent="0.25">
      <c r="A555" s="286">
        <v>6.3</v>
      </c>
      <c r="B555" s="13" t="s">
        <v>370</v>
      </c>
      <c r="C555" s="286" t="s">
        <v>115</v>
      </c>
      <c r="D555" s="177">
        <v>45.62</v>
      </c>
      <c r="E555" s="178">
        <v>100848</v>
      </c>
      <c r="F555" s="178">
        <f>ROUND(D555*E555,0)</f>
        <v>4600686</v>
      </c>
    </row>
    <row r="556" spans="1:6" x14ac:dyDescent="0.25">
      <c r="A556" s="286">
        <v>7</v>
      </c>
      <c r="B556" s="179" t="s">
        <v>371</v>
      </c>
      <c r="C556" s="286"/>
      <c r="D556" s="177"/>
      <c r="E556" s="178" t="s">
        <v>1</v>
      </c>
      <c r="F556" s="178"/>
    </row>
    <row r="557" spans="1:6" ht="43.5" x14ac:dyDescent="0.25">
      <c r="A557" s="286" t="s">
        <v>372</v>
      </c>
      <c r="B557" s="13" t="s">
        <v>523</v>
      </c>
      <c r="C557" s="286" t="s">
        <v>18</v>
      </c>
      <c r="D557" s="177">
        <v>107.8</v>
      </c>
      <c r="E557" s="178">
        <v>13960</v>
      </c>
      <c r="F557" s="178">
        <f t="shared" ref="F557:F567" si="28">ROUND(D557*E557,0)</f>
        <v>1504888</v>
      </c>
    </row>
    <row r="558" spans="1:6" ht="43.5" x14ac:dyDescent="0.25">
      <c r="A558" s="286">
        <v>7.2</v>
      </c>
      <c r="B558" s="13" t="s">
        <v>521</v>
      </c>
      <c r="C558" s="286" t="s">
        <v>18</v>
      </c>
      <c r="D558" s="177">
        <v>24</v>
      </c>
      <c r="E558" s="178">
        <v>22867</v>
      </c>
      <c r="F558" s="178">
        <f t="shared" si="28"/>
        <v>548808</v>
      </c>
    </row>
    <row r="559" spans="1:6" ht="43.5" x14ac:dyDescent="0.25">
      <c r="A559" s="286" t="s">
        <v>374</v>
      </c>
      <c r="B559" s="13" t="s">
        <v>560</v>
      </c>
      <c r="C559" s="286" t="s">
        <v>18</v>
      </c>
      <c r="D559" s="177">
        <v>84.5</v>
      </c>
      <c r="E559" s="178">
        <v>27441</v>
      </c>
      <c r="F559" s="178">
        <f t="shared" si="28"/>
        <v>2318765</v>
      </c>
    </row>
    <row r="560" spans="1:6" ht="29.25" x14ac:dyDescent="0.25">
      <c r="A560" s="286">
        <v>7.3</v>
      </c>
      <c r="B560" s="13" t="s">
        <v>377</v>
      </c>
      <c r="C560" s="286" t="s">
        <v>125</v>
      </c>
      <c r="D560" s="177">
        <v>2</v>
      </c>
      <c r="E560" s="178">
        <v>103880</v>
      </c>
      <c r="F560" s="178">
        <f t="shared" si="28"/>
        <v>207760</v>
      </c>
    </row>
    <row r="561" spans="1:6" ht="29.25" x14ac:dyDescent="0.25">
      <c r="A561" s="286">
        <v>7.4</v>
      </c>
      <c r="B561" s="13" t="s">
        <v>379</v>
      </c>
      <c r="C561" s="286" t="s">
        <v>125</v>
      </c>
      <c r="D561" s="177">
        <v>5</v>
      </c>
      <c r="E561" s="178">
        <v>69353</v>
      </c>
      <c r="F561" s="178">
        <f t="shared" si="28"/>
        <v>346765</v>
      </c>
    </row>
    <row r="562" spans="1:6" ht="29.25" x14ac:dyDescent="0.25">
      <c r="A562" s="286">
        <v>7.6</v>
      </c>
      <c r="B562" s="13" t="s">
        <v>383</v>
      </c>
      <c r="C562" s="286" t="s">
        <v>125</v>
      </c>
      <c r="D562" s="177">
        <v>2</v>
      </c>
      <c r="E562" s="178">
        <v>605385</v>
      </c>
      <c r="F562" s="178">
        <f t="shared" si="28"/>
        <v>1210770</v>
      </c>
    </row>
    <row r="563" spans="1:6" ht="29.25" x14ac:dyDescent="0.25">
      <c r="A563" s="286">
        <v>7.7</v>
      </c>
      <c r="B563" s="13" t="s">
        <v>385</v>
      </c>
      <c r="C563" s="286" t="s">
        <v>125</v>
      </c>
      <c r="D563" s="177">
        <v>2</v>
      </c>
      <c r="E563" s="178">
        <v>574732</v>
      </c>
      <c r="F563" s="178">
        <f t="shared" si="28"/>
        <v>1149464</v>
      </c>
    </row>
    <row r="564" spans="1:6" ht="29.25" x14ac:dyDescent="0.25">
      <c r="A564" s="286">
        <v>7.8</v>
      </c>
      <c r="B564" s="13" t="s">
        <v>387</v>
      </c>
      <c r="C564" s="286" t="s">
        <v>23</v>
      </c>
      <c r="D564" s="177">
        <v>14</v>
      </c>
      <c r="E564" s="178">
        <v>419235</v>
      </c>
      <c r="F564" s="178">
        <f t="shared" si="28"/>
        <v>5869290</v>
      </c>
    </row>
    <row r="565" spans="1:6" ht="72" x14ac:dyDescent="0.25">
      <c r="A565" s="286">
        <v>7.9</v>
      </c>
      <c r="B565" s="17" t="s">
        <v>389</v>
      </c>
      <c r="C565" s="286" t="s">
        <v>125</v>
      </c>
      <c r="D565" s="177">
        <v>4</v>
      </c>
      <c r="E565" s="178">
        <v>1875342</v>
      </c>
      <c r="F565" s="178">
        <f t="shared" si="28"/>
        <v>7501368</v>
      </c>
    </row>
    <row r="566" spans="1:6" ht="57.75" x14ac:dyDescent="0.25">
      <c r="A566" s="322" t="s">
        <v>388</v>
      </c>
      <c r="B566" s="13" t="s">
        <v>512</v>
      </c>
      <c r="C566" s="286" t="s">
        <v>125</v>
      </c>
      <c r="D566" s="177">
        <v>2</v>
      </c>
      <c r="E566" s="178">
        <v>742762</v>
      </c>
      <c r="F566" s="178">
        <f t="shared" si="28"/>
        <v>1485524</v>
      </c>
    </row>
    <row r="567" spans="1:6" x14ac:dyDescent="0.25">
      <c r="A567" s="286" t="s">
        <v>390</v>
      </c>
      <c r="B567" s="13" t="s">
        <v>526</v>
      </c>
      <c r="C567" s="286" t="s">
        <v>125</v>
      </c>
      <c r="D567" s="177">
        <v>14</v>
      </c>
      <c r="E567" s="178">
        <v>66314</v>
      </c>
      <c r="F567" s="178">
        <f t="shared" si="28"/>
        <v>928396</v>
      </c>
    </row>
    <row r="568" spans="1:6" x14ac:dyDescent="0.25">
      <c r="A568" s="286">
        <v>8</v>
      </c>
      <c r="B568" s="179" t="s">
        <v>394</v>
      </c>
      <c r="C568" s="286"/>
      <c r="D568" s="177"/>
      <c r="E568" s="178">
        <v>0</v>
      </c>
      <c r="F568" s="178"/>
    </row>
    <row r="569" spans="1:6" x14ac:dyDescent="0.25">
      <c r="A569" s="286" t="s">
        <v>395</v>
      </c>
      <c r="B569" s="13" t="s">
        <v>396</v>
      </c>
      <c r="C569" s="286" t="s">
        <v>18</v>
      </c>
      <c r="D569" s="177">
        <v>423.8</v>
      </c>
      <c r="E569" s="178">
        <v>14248</v>
      </c>
      <c r="F569" s="178">
        <f>ROUND(D569*E569,0)</f>
        <v>6038302</v>
      </c>
    </row>
    <row r="570" spans="1:6" ht="42.75" x14ac:dyDescent="0.25">
      <c r="A570" s="286" t="s">
        <v>397</v>
      </c>
      <c r="B570" s="9" t="s">
        <v>398</v>
      </c>
      <c r="C570" s="286" t="s">
        <v>115</v>
      </c>
      <c r="D570" s="177">
        <v>34.61</v>
      </c>
      <c r="E570" s="178">
        <v>1114387</v>
      </c>
      <c r="F570" s="178">
        <f>ROUND(D570*E570,0)</f>
        <v>38568934</v>
      </c>
    </row>
    <row r="571" spans="1:6" ht="29.25" x14ac:dyDescent="0.25">
      <c r="A571" s="286">
        <v>8.4</v>
      </c>
      <c r="B571" s="181" t="s">
        <v>400</v>
      </c>
      <c r="C571" s="286" t="s">
        <v>115</v>
      </c>
      <c r="D571" s="177">
        <v>3.69</v>
      </c>
      <c r="E571" s="178">
        <v>761635</v>
      </c>
      <c r="F571" s="178">
        <f>ROUND(D571*E571,0)</f>
        <v>2810433</v>
      </c>
    </row>
    <row r="572" spans="1:6" x14ac:dyDescent="0.25">
      <c r="A572" s="219"/>
      <c r="B572" s="18" t="s">
        <v>56</v>
      </c>
      <c r="C572" s="54"/>
      <c r="D572" s="130"/>
      <c r="E572" s="28"/>
      <c r="F572" s="79">
        <f>SUM(F537:F571)</f>
        <v>100659399</v>
      </c>
    </row>
    <row r="573" spans="1:6" x14ac:dyDescent="0.25">
      <c r="A573" s="19"/>
      <c r="B573" s="19" t="s">
        <v>60</v>
      </c>
      <c r="C573" s="19"/>
      <c r="D573" s="19"/>
      <c r="E573" s="19"/>
      <c r="F573" s="29">
        <f>ROUND(F572/1.3495,0)</f>
        <v>74590144</v>
      </c>
    </row>
    <row r="574" spans="1:6" x14ac:dyDescent="0.25">
      <c r="A574" s="19"/>
      <c r="B574" s="19" t="s">
        <v>61</v>
      </c>
      <c r="C574" s="131">
        <v>0.24</v>
      </c>
      <c r="D574" s="19"/>
      <c r="E574" s="19"/>
      <c r="F574" s="29">
        <f>ROUND(F573*C574,0)</f>
        <v>17901635</v>
      </c>
    </row>
    <row r="575" spans="1:6" x14ac:dyDescent="0.25">
      <c r="A575" s="19"/>
      <c r="B575" s="19" t="s">
        <v>57</v>
      </c>
      <c r="C575" s="131">
        <v>0.05</v>
      </c>
      <c r="D575" s="19"/>
      <c r="E575" s="19"/>
      <c r="F575" s="29">
        <f>ROUND(F573*C575,0)</f>
        <v>3729507</v>
      </c>
    </row>
    <row r="576" spans="1:6" x14ac:dyDescent="0.25">
      <c r="A576" s="19"/>
      <c r="B576" s="19" t="s">
        <v>62</v>
      </c>
      <c r="C576" s="131">
        <v>0.05</v>
      </c>
      <c r="D576" s="19"/>
      <c r="E576" s="19"/>
      <c r="F576" s="29">
        <f>ROUND(F573*C576,0)</f>
        <v>3729507</v>
      </c>
    </row>
    <row r="577" spans="1:6" x14ac:dyDescent="0.25">
      <c r="A577" s="19"/>
      <c r="B577" s="132" t="s">
        <v>63</v>
      </c>
      <c r="C577" s="133">
        <v>0.19</v>
      </c>
      <c r="D577" s="120"/>
      <c r="E577" s="120"/>
      <c r="F577" s="35">
        <f>ROUND(F576*19%,0)</f>
        <v>708606</v>
      </c>
    </row>
    <row r="578" spans="1:6" x14ac:dyDescent="0.25">
      <c r="A578" s="19"/>
      <c r="B578" s="18" t="s">
        <v>56</v>
      </c>
      <c r="C578" s="19"/>
      <c r="D578" s="19"/>
      <c r="E578" s="19"/>
      <c r="F578" s="30">
        <f>SUM(F573:F577)</f>
        <v>100659399</v>
      </c>
    </row>
    <row r="579" spans="1:6" x14ac:dyDescent="0.25">
      <c r="A579" s="81"/>
      <c r="B579" s="81"/>
      <c r="C579" s="81"/>
      <c r="D579" s="81"/>
      <c r="E579" s="81"/>
      <c r="F579" s="81"/>
    </row>
    <row r="580" spans="1:6" ht="44.25" customHeight="1" x14ac:dyDescent="0.25">
      <c r="A580" s="489" t="s">
        <v>980</v>
      </c>
      <c r="B580" s="489"/>
      <c r="C580" s="489"/>
      <c r="D580" s="489"/>
      <c r="E580" s="489"/>
      <c r="F580" s="489"/>
    </row>
    <row r="581" spans="1:6" x14ac:dyDescent="0.25">
      <c r="A581" s="324" t="s">
        <v>421</v>
      </c>
      <c r="B581" s="324" t="s">
        <v>422</v>
      </c>
      <c r="C581" s="324" t="s">
        <v>423</v>
      </c>
      <c r="D581" s="324" t="s">
        <v>13</v>
      </c>
      <c r="E581" s="324" t="s">
        <v>424</v>
      </c>
      <c r="F581" s="324" t="s">
        <v>425</v>
      </c>
    </row>
    <row r="582" spans="1:6" x14ac:dyDescent="0.25">
      <c r="A582" s="219"/>
      <c r="B582" s="219"/>
      <c r="C582" s="219"/>
      <c r="D582" s="219"/>
      <c r="E582" s="219"/>
      <c r="F582" s="219"/>
    </row>
    <row r="583" spans="1:6" x14ac:dyDescent="0.25">
      <c r="A583" s="222" t="s">
        <v>338</v>
      </c>
      <c r="B583" s="20" t="s">
        <v>16</v>
      </c>
      <c r="C583" s="222"/>
      <c r="D583" s="186"/>
      <c r="E583" s="187"/>
      <c r="F583" s="187"/>
    </row>
    <row r="584" spans="1:6" ht="42.75" x14ac:dyDescent="0.25">
      <c r="A584" s="222" t="s">
        <v>339</v>
      </c>
      <c r="B584" s="132" t="s">
        <v>340</v>
      </c>
      <c r="C584" s="222" t="s">
        <v>341</v>
      </c>
      <c r="D584" s="186">
        <v>95</v>
      </c>
      <c r="E584" s="187">
        <v>7564</v>
      </c>
      <c r="F584" s="187">
        <f>ROUND(D584*E584,0)</f>
        <v>718580</v>
      </c>
    </row>
    <row r="585" spans="1:6" ht="42.75" x14ac:dyDescent="0.25">
      <c r="A585" s="222" t="s">
        <v>342</v>
      </c>
      <c r="B585" s="132" t="s">
        <v>343</v>
      </c>
      <c r="C585" s="222" t="s">
        <v>341</v>
      </c>
      <c r="D585" s="186">
        <v>193.6</v>
      </c>
      <c r="E585" s="178">
        <v>12418</v>
      </c>
      <c r="F585" s="187">
        <f>ROUND(D585*E585,0)</f>
        <v>2404125</v>
      </c>
    </row>
    <row r="586" spans="1:6" ht="42.75" x14ac:dyDescent="0.25">
      <c r="A586" s="222" t="s">
        <v>344</v>
      </c>
      <c r="B586" s="132" t="s">
        <v>345</v>
      </c>
      <c r="C586" s="222" t="s">
        <v>125</v>
      </c>
      <c r="D586" s="186">
        <v>2</v>
      </c>
      <c r="E586" s="178">
        <v>243668</v>
      </c>
      <c r="F586" s="187">
        <f>ROUND(D586*E586,0)</f>
        <v>487336</v>
      </c>
    </row>
    <row r="587" spans="1:6" x14ac:dyDescent="0.25">
      <c r="A587" s="222">
        <v>2</v>
      </c>
      <c r="B587" s="20" t="s">
        <v>347</v>
      </c>
      <c r="C587" s="222"/>
      <c r="D587" s="186"/>
      <c r="E587" s="187" t="s">
        <v>1</v>
      </c>
      <c r="F587" s="187"/>
    </row>
    <row r="588" spans="1:6" x14ac:dyDescent="0.25">
      <c r="A588" s="222" t="s">
        <v>348</v>
      </c>
      <c r="B588" s="120" t="s">
        <v>349</v>
      </c>
      <c r="C588" s="222" t="s">
        <v>115</v>
      </c>
      <c r="D588" s="186">
        <v>39.479999999999997</v>
      </c>
      <c r="E588" s="178">
        <v>141463</v>
      </c>
      <c r="F588" s="187">
        <f>ROUND(D588*E588,0)</f>
        <v>5584959</v>
      </c>
    </row>
    <row r="589" spans="1:6" ht="28.5" x14ac:dyDescent="0.25">
      <c r="A589" s="222">
        <v>2.2000000000000002</v>
      </c>
      <c r="B589" s="132" t="s">
        <v>350</v>
      </c>
      <c r="C589" s="222" t="s">
        <v>115</v>
      </c>
      <c r="D589" s="186">
        <v>1</v>
      </c>
      <c r="E589" s="178">
        <v>114584</v>
      </c>
      <c r="F589" s="187">
        <f>ROUND(D589*E589,0)</f>
        <v>114584</v>
      </c>
    </row>
    <row r="590" spans="1:6" ht="28.5" x14ac:dyDescent="0.25">
      <c r="A590" s="222" t="s">
        <v>351</v>
      </c>
      <c r="B590" s="132" t="s">
        <v>464</v>
      </c>
      <c r="C590" s="222" t="s">
        <v>115</v>
      </c>
      <c r="D590" s="186">
        <v>4.38</v>
      </c>
      <c r="E590" s="178">
        <v>107656</v>
      </c>
      <c r="F590" s="187">
        <f>ROUND(D590*E590,0)</f>
        <v>471533</v>
      </c>
    </row>
    <row r="591" spans="1:6" x14ac:dyDescent="0.25">
      <c r="A591" s="222">
        <v>3</v>
      </c>
      <c r="B591" s="195" t="s">
        <v>353</v>
      </c>
      <c r="C591" s="222"/>
      <c r="D591" s="186"/>
      <c r="E591" s="187" t="s">
        <v>1</v>
      </c>
      <c r="F591" s="187"/>
    </row>
    <row r="592" spans="1:6" ht="28.5" x14ac:dyDescent="0.25">
      <c r="A592" s="222" t="s">
        <v>354</v>
      </c>
      <c r="B592" s="132" t="s">
        <v>355</v>
      </c>
      <c r="C592" s="222" t="s">
        <v>115</v>
      </c>
      <c r="D592" s="186">
        <v>145.03</v>
      </c>
      <c r="E592" s="178">
        <v>36641</v>
      </c>
      <c r="F592" s="187">
        <f>ROUND(D592*E592,0)</f>
        <v>5314044</v>
      </c>
    </row>
    <row r="593" spans="1:6" x14ac:dyDescent="0.25">
      <c r="A593" s="222">
        <v>4</v>
      </c>
      <c r="B593" s="195" t="s">
        <v>356</v>
      </c>
      <c r="C593" s="222"/>
      <c r="D593" s="186"/>
      <c r="E593" s="187" t="s">
        <v>1</v>
      </c>
      <c r="F593" s="187"/>
    </row>
    <row r="594" spans="1:6" ht="28.5" x14ac:dyDescent="0.25">
      <c r="A594" s="222" t="s">
        <v>357</v>
      </c>
      <c r="B594" s="132" t="s">
        <v>358</v>
      </c>
      <c r="C594" s="222" t="s">
        <v>115</v>
      </c>
      <c r="D594" s="186">
        <v>161.28</v>
      </c>
      <c r="E594" s="187">
        <v>30196</v>
      </c>
      <c r="F594" s="187">
        <f>ROUND(D594*E594,0)</f>
        <v>4870011</v>
      </c>
    </row>
    <row r="595" spans="1:6" x14ac:dyDescent="0.25">
      <c r="A595" s="222">
        <v>4.2</v>
      </c>
      <c r="B595" s="132" t="s">
        <v>359</v>
      </c>
      <c r="C595" s="222" t="s">
        <v>115</v>
      </c>
      <c r="D595" s="186">
        <v>52.64</v>
      </c>
      <c r="E595" s="187">
        <v>35903</v>
      </c>
      <c r="F595" s="187">
        <f>ROUND(D595*E595,0)</f>
        <v>1889934</v>
      </c>
    </row>
    <row r="596" spans="1:6" x14ac:dyDescent="0.25">
      <c r="A596" s="222">
        <v>4.3</v>
      </c>
      <c r="B596" s="132" t="s">
        <v>407</v>
      </c>
      <c r="C596" s="222" t="s">
        <v>18</v>
      </c>
      <c r="D596" s="186">
        <v>44</v>
      </c>
      <c r="E596" s="187">
        <v>34497</v>
      </c>
      <c r="F596" s="187">
        <f>ROUND(D596*E596,0)</f>
        <v>1517868</v>
      </c>
    </row>
    <row r="597" spans="1:6" x14ac:dyDescent="0.25">
      <c r="A597" s="222">
        <v>5</v>
      </c>
      <c r="B597" s="195" t="s">
        <v>361</v>
      </c>
      <c r="C597" s="222"/>
      <c r="D597" s="186"/>
      <c r="E597" s="187" t="s">
        <v>1</v>
      </c>
      <c r="F597" s="187"/>
    </row>
    <row r="598" spans="1:6" ht="28.5" x14ac:dyDescent="0.25">
      <c r="A598" s="222" t="s">
        <v>362</v>
      </c>
      <c r="B598" s="132" t="s">
        <v>363</v>
      </c>
      <c r="C598" s="222" t="s">
        <v>115</v>
      </c>
      <c r="D598" s="186">
        <v>126.5</v>
      </c>
      <c r="E598" s="187">
        <v>24785</v>
      </c>
      <c r="F598" s="187">
        <f>ROUND(D598*E598,0)</f>
        <v>3135303</v>
      </c>
    </row>
    <row r="599" spans="1:6" ht="28.5" x14ac:dyDescent="0.25">
      <c r="A599" s="222" t="s">
        <v>364</v>
      </c>
      <c r="B599" s="132" t="s">
        <v>365</v>
      </c>
      <c r="C599" s="222" t="s">
        <v>115</v>
      </c>
      <c r="D599" s="186">
        <v>13.54</v>
      </c>
      <c r="E599" s="187">
        <v>106445</v>
      </c>
      <c r="F599" s="187">
        <f>ROUND(D599*E599,0)</f>
        <v>1441265</v>
      </c>
    </row>
    <row r="600" spans="1:6" ht="30" x14ac:dyDescent="0.25">
      <c r="A600" s="222">
        <v>6</v>
      </c>
      <c r="B600" s="195" t="s">
        <v>366</v>
      </c>
      <c r="C600" s="222"/>
      <c r="D600" s="186"/>
      <c r="E600" s="187" t="s">
        <v>1</v>
      </c>
      <c r="F600" s="187"/>
    </row>
    <row r="601" spans="1:6" ht="28.5" x14ac:dyDescent="0.25">
      <c r="A601" s="222" t="s">
        <v>367</v>
      </c>
      <c r="B601" s="132" t="s">
        <v>368</v>
      </c>
      <c r="C601" s="222" t="s">
        <v>115</v>
      </c>
      <c r="D601" s="186">
        <v>4.38</v>
      </c>
      <c r="E601" s="187">
        <v>99425</v>
      </c>
      <c r="F601" s="187">
        <f>ROUND(D601*E601,0)</f>
        <v>435482</v>
      </c>
    </row>
    <row r="602" spans="1:6" ht="42.75" x14ac:dyDescent="0.25">
      <c r="A602" s="222">
        <v>6.2</v>
      </c>
      <c r="B602" s="132" t="s">
        <v>561</v>
      </c>
      <c r="C602" s="222" t="s">
        <v>115</v>
      </c>
      <c r="D602" s="186">
        <v>39.479999999999997</v>
      </c>
      <c r="E602" s="187">
        <v>190032</v>
      </c>
      <c r="F602" s="187">
        <f>ROUND(D602*E602,0)</f>
        <v>7502463</v>
      </c>
    </row>
    <row r="603" spans="1:6" ht="28.5" x14ac:dyDescent="0.25">
      <c r="A603" s="222">
        <v>6.3</v>
      </c>
      <c r="B603" s="132" t="s">
        <v>370</v>
      </c>
      <c r="C603" s="222" t="s">
        <v>115</v>
      </c>
      <c r="D603" s="186">
        <v>35.86</v>
      </c>
      <c r="E603" s="187">
        <v>100848</v>
      </c>
      <c r="F603" s="187">
        <f>ROUND(D603*E603,0)</f>
        <v>3616409</v>
      </c>
    </row>
    <row r="604" spans="1:6" x14ac:dyDescent="0.25">
      <c r="A604" s="222">
        <v>7</v>
      </c>
      <c r="B604" s="195" t="s">
        <v>371</v>
      </c>
      <c r="C604" s="222"/>
      <c r="D604" s="186"/>
      <c r="E604" s="187" t="s">
        <v>1</v>
      </c>
      <c r="F604" s="187"/>
    </row>
    <row r="605" spans="1:6" ht="42.75" x14ac:dyDescent="0.25">
      <c r="A605" s="222" t="s">
        <v>372</v>
      </c>
      <c r="B605" s="132" t="s">
        <v>520</v>
      </c>
      <c r="C605" s="222" t="s">
        <v>18</v>
      </c>
      <c r="D605" s="186">
        <f>18*2</f>
        <v>36</v>
      </c>
      <c r="E605" s="187">
        <v>13960</v>
      </c>
      <c r="F605" s="187">
        <f>ROUND(D605*E605,0)</f>
        <v>502560</v>
      </c>
    </row>
    <row r="606" spans="1:6" ht="42.75" x14ac:dyDescent="0.25">
      <c r="A606" s="222">
        <v>7.2</v>
      </c>
      <c r="B606" s="132" t="s">
        <v>521</v>
      </c>
      <c r="C606" s="222" t="s">
        <v>18</v>
      </c>
      <c r="D606" s="186">
        <v>6</v>
      </c>
      <c r="E606" s="187">
        <v>22867</v>
      </c>
      <c r="F606" s="187">
        <f>ROUND(D606*E606,0)</f>
        <v>137202</v>
      </c>
    </row>
    <row r="607" spans="1:6" ht="42.75" x14ac:dyDescent="0.25">
      <c r="A607" s="222" t="s">
        <v>374</v>
      </c>
      <c r="B607" s="132" t="s">
        <v>566</v>
      </c>
      <c r="C607" s="222" t="s">
        <v>18</v>
      </c>
      <c r="D607" s="186">
        <v>94</v>
      </c>
      <c r="E607" s="187">
        <v>27441</v>
      </c>
      <c r="F607" s="187">
        <f>ROUND(D607*E607,0)</f>
        <v>2579454</v>
      </c>
    </row>
    <row r="608" spans="1:6" ht="28.5" x14ac:dyDescent="0.25">
      <c r="A608" s="222">
        <v>7.3</v>
      </c>
      <c r="B608" s="132" t="s">
        <v>377</v>
      </c>
      <c r="C608" s="222" t="s">
        <v>125</v>
      </c>
      <c r="D608" s="186">
        <v>2</v>
      </c>
      <c r="E608" s="187">
        <v>103860</v>
      </c>
      <c r="F608" s="187">
        <f t="shared" ref="F608:F616" si="29">ROUND(D608*E608,0)</f>
        <v>207720</v>
      </c>
    </row>
    <row r="609" spans="1:6" ht="28.5" x14ac:dyDescent="0.25">
      <c r="A609" s="222">
        <v>7.4</v>
      </c>
      <c r="B609" s="132" t="s">
        <v>379</v>
      </c>
      <c r="C609" s="222" t="s">
        <v>125</v>
      </c>
      <c r="D609" s="186">
        <v>9</v>
      </c>
      <c r="E609" s="187">
        <v>62174</v>
      </c>
      <c r="F609" s="187">
        <f t="shared" si="29"/>
        <v>559566</v>
      </c>
    </row>
    <row r="610" spans="1:6" ht="28.5" x14ac:dyDescent="0.25">
      <c r="A610" s="222">
        <v>7.5</v>
      </c>
      <c r="B610" s="132" t="s">
        <v>381</v>
      </c>
      <c r="C610" s="222" t="s">
        <v>18</v>
      </c>
      <c r="D610" s="186">
        <v>2.1</v>
      </c>
      <c r="E610" s="187">
        <v>721405</v>
      </c>
      <c r="F610" s="187">
        <f t="shared" si="29"/>
        <v>1514951</v>
      </c>
    </row>
    <row r="611" spans="1:6" ht="28.5" x14ac:dyDescent="0.25">
      <c r="A611" s="222">
        <v>7.6</v>
      </c>
      <c r="B611" s="132" t="s">
        <v>383</v>
      </c>
      <c r="C611" s="222" t="s">
        <v>125</v>
      </c>
      <c r="D611" s="186">
        <v>3</v>
      </c>
      <c r="E611" s="187">
        <v>605385</v>
      </c>
      <c r="F611" s="187">
        <f t="shared" si="29"/>
        <v>1816155</v>
      </c>
    </row>
    <row r="612" spans="1:6" ht="28.5" x14ac:dyDescent="0.25">
      <c r="A612" s="222">
        <v>7.7</v>
      </c>
      <c r="B612" s="132" t="s">
        <v>385</v>
      </c>
      <c r="C612" s="222" t="s">
        <v>125</v>
      </c>
      <c r="D612" s="186">
        <v>3</v>
      </c>
      <c r="E612" s="187">
        <v>574732</v>
      </c>
      <c r="F612" s="187">
        <f t="shared" si="29"/>
        <v>1724196</v>
      </c>
    </row>
    <row r="613" spans="1:6" ht="28.5" x14ac:dyDescent="0.25">
      <c r="A613" s="222">
        <v>7.8</v>
      </c>
      <c r="B613" s="132" t="s">
        <v>387</v>
      </c>
      <c r="C613" s="222" t="s">
        <v>23</v>
      </c>
      <c r="D613" s="186">
        <v>18</v>
      </c>
      <c r="E613" s="187">
        <v>419235</v>
      </c>
      <c r="F613" s="187">
        <f t="shared" si="29"/>
        <v>7546230</v>
      </c>
    </row>
    <row r="614" spans="1:6" ht="71.25" x14ac:dyDescent="0.25">
      <c r="A614" s="222">
        <v>7.9</v>
      </c>
      <c r="B614" s="9" t="s">
        <v>389</v>
      </c>
      <c r="C614" s="222" t="s">
        <v>125</v>
      </c>
      <c r="D614" s="186">
        <v>2</v>
      </c>
      <c r="E614" s="187">
        <v>1875342</v>
      </c>
      <c r="F614" s="187">
        <f t="shared" si="29"/>
        <v>3750684</v>
      </c>
    </row>
    <row r="615" spans="1:6" ht="57" x14ac:dyDescent="0.25">
      <c r="A615" s="325" t="s">
        <v>388</v>
      </c>
      <c r="B615" s="132" t="s">
        <v>562</v>
      </c>
      <c r="C615" s="222" t="s">
        <v>125</v>
      </c>
      <c r="D615" s="186">
        <v>2</v>
      </c>
      <c r="E615" s="187">
        <v>565385</v>
      </c>
      <c r="F615" s="187">
        <f t="shared" si="29"/>
        <v>1130770</v>
      </c>
    </row>
    <row r="616" spans="1:6" x14ac:dyDescent="0.25">
      <c r="A616" s="222" t="s">
        <v>390</v>
      </c>
      <c r="B616" s="132" t="s">
        <v>526</v>
      </c>
      <c r="C616" s="222" t="s">
        <v>125</v>
      </c>
      <c r="D616" s="186">
        <v>18</v>
      </c>
      <c r="E616" s="187">
        <v>66314</v>
      </c>
      <c r="F616" s="187">
        <f t="shared" si="29"/>
        <v>1193652</v>
      </c>
    </row>
    <row r="617" spans="1:6" x14ac:dyDescent="0.25">
      <c r="A617" s="222">
        <v>8</v>
      </c>
      <c r="B617" s="195" t="s">
        <v>394</v>
      </c>
      <c r="C617" s="222"/>
      <c r="D617" s="186"/>
      <c r="E617" s="187" t="s">
        <v>1</v>
      </c>
      <c r="F617" s="187"/>
    </row>
    <row r="618" spans="1:6" x14ac:dyDescent="0.25">
      <c r="A618" s="222" t="s">
        <v>395</v>
      </c>
      <c r="B618" s="132" t="s">
        <v>396</v>
      </c>
      <c r="C618" s="222" t="s">
        <v>18</v>
      </c>
      <c r="D618" s="186">
        <v>85.4</v>
      </c>
      <c r="E618" s="187">
        <v>14248</v>
      </c>
      <c r="F618" s="187">
        <f>ROUND(D618*E618,0)</f>
        <v>1216779</v>
      </c>
    </row>
    <row r="619" spans="1:6" ht="28.5" x14ac:dyDescent="0.25">
      <c r="A619" s="222">
        <v>8.4</v>
      </c>
      <c r="B619" s="196" t="s">
        <v>400</v>
      </c>
      <c r="C619" s="222" t="s">
        <v>115</v>
      </c>
      <c r="D619" s="186">
        <v>4.38</v>
      </c>
      <c r="E619" s="187">
        <v>761635</v>
      </c>
      <c r="F619" s="187">
        <f>ROUND(D619*E619,0)</f>
        <v>3335961</v>
      </c>
    </row>
    <row r="620" spans="1:6" ht="42.75" x14ac:dyDescent="0.25">
      <c r="A620" s="222">
        <v>8.5</v>
      </c>
      <c r="B620" s="9" t="s">
        <v>564</v>
      </c>
      <c r="C620" s="222" t="s">
        <v>115</v>
      </c>
      <c r="D620" s="186">
        <v>28.95</v>
      </c>
      <c r="E620" s="187">
        <v>914999</v>
      </c>
      <c r="F620" s="187">
        <f>ROUND(D620*E620,0)</f>
        <v>26489221</v>
      </c>
    </row>
    <row r="621" spans="1:6" x14ac:dyDescent="0.25">
      <c r="A621" s="219"/>
      <c r="B621" s="18" t="s">
        <v>56</v>
      </c>
      <c r="C621" s="54"/>
      <c r="D621" s="130"/>
      <c r="E621" s="28"/>
      <c r="F621" s="79">
        <f>SUM(F582:F620)</f>
        <v>93208997</v>
      </c>
    </row>
    <row r="622" spans="1:6" x14ac:dyDescent="0.25">
      <c r="A622" s="19"/>
      <c r="B622" s="19" t="s">
        <v>60</v>
      </c>
      <c r="C622" s="19"/>
      <c r="D622" s="19"/>
      <c r="E622" s="19"/>
      <c r="F622" s="29">
        <f>ROUND(F621/1.3495,0)</f>
        <v>69069283</v>
      </c>
    </row>
    <row r="623" spans="1:6" x14ac:dyDescent="0.25">
      <c r="A623" s="19"/>
      <c r="B623" s="19" t="s">
        <v>61</v>
      </c>
      <c r="C623" s="131">
        <v>0.24</v>
      </c>
      <c r="D623" s="19"/>
      <c r="E623" s="19"/>
      <c r="F623" s="29">
        <f>ROUND(F622*C623,0)</f>
        <v>16576628</v>
      </c>
    </row>
    <row r="624" spans="1:6" x14ac:dyDescent="0.25">
      <c r="A624" s="19"/>
      <c r="B624" s="19" t="s">
        <v>57</v>
      </c>
      <c r="C624" s="131">
        <v>0.05</v>
      </c>
      <c r="D624" s="19"/>
      <c r="E624" s="19"/>
      <c r="F624" s="29">
        <f>ROUND(F622*C624,0)</f>
        <v>3453464</v>
      </c>
    </row>
    <row r="625" spans="1:6" x14ac:dyDescent="0.25">
      <c r="A625" s="19"/>
      <c r="B625" s="19" t="s">
        <v>62</v>
      </c>
      <c r="C625" s="131">
        <v>0.05</v>
      </c>
      <c r="D625" s="19"/>
      <c r="E625" s="19"/>
      <c r="F625" s="29">
        <f>ROUND(F622*C625,0)</f>
        <v>3453464</v>
      </c>
    </row>
    <row r="626" spans="1:6" x14ac:dyDescent="0.25">
      <c r="A626" s="19"/>
      <c r="B626" s="132" t="s">
        <v>63</v>
      </c>
      <c r="C626" s="133">
        <v>0.19</v>
      </c>
      <c r="D626" s="120"/>
      <c r="E626" s="120"/>
      <c r="F626" s="35">
        <f>ROUND(F625*19%,0)</f>
        <v>656158</v>
      </c>
    </row>
    <row r="627" spans="1:6" x14ac:dyDescent="0.25">
      <c r="A627" s="19"/>
      <c r="B627" s="18" t="s">
        <v>56</v>
      </c>
      <c r="C627" s="19"/>
      <c r="D627" s="19"/>
      <c r="E627" s="19"/>
      <c r="F627" s="30">
        <f>SUM(F622:F626)</f>
        <v>93208997</v>
      </c>
    </row>
    <row r="628" spans="1:6" x14ac:dyDescent="0.25">
      <c r="A628" s="81"/>
      <c r="B628" s="81"/>
      <c r="C628" s="81"/>
      <c r="D628" s="81"/>
      <c r="E628" s="81"/>
      <c r="F628" s="81"/>
    </row>
    <row r="629" spans="1:6" ht="61.5" customHeight="1" x14ac:dyDescent="0.25">
      <c r="A629" s="489" t="s">
        <v>981</v>
      </c>
      <c r="B629" s="489"/>
      <c r="C629" s="489"/>
      <c r="D629" s="489"/>
      <c r="E629" s="489"/>
      <c r="F629" s="489"/>
    </row>
    <row r="630" spans="1:6" x14ac:dyDescent="0.25">
      <c r="A630" s="324" t="s">
        <v>421</v>
      </c>
      <c r="B630" s="324" t="s">
        <v>422</v>
      </c>
      <c r="C630" s="324" t="s">
        <v>423</v>
      </c>
      <c r="D630" s="324" t="s">
        <v>13</v>
      </c>
      <c r="E630" s="324" t="s">
        <v>424</v>
      </c>
      <c r="F630" s="324" t="s">
        <v>425</v>
      </c>
    </row>
    <row r="631" spans="1:6" x14ac:dyDescent="0.25">
      <c r="A631" s="219"/>
      <c r="B631" s="219"/>
      <c r="C631" s="219"/>
      <c r="D631" s="219"/>
      <c r="E631" s="219"/>
      <c r="F631" s="219"/>
    </row>
    <row r="632" spans="1:6" x14ac:dyDescent="0.25">
      <c r="A632" s="222" t="s">
        <v>338</v>
      </c>
      <c r="B632" s="20" t="s">
        <v>16</v>
      </c>
      <c r="C632" s="222"/>
      <c r="D632" s="186"/>
      <c r="E632" s="187"/>
      <c r="F632" s="187"/>
    </row>
    <row r="633" spans="1:6" ht="42.75" x14ac:dyDescent="0.25">
      <c r="A633" s="222" t="s">
        <v>339</v>
      </c>
      <c r="B633" s="132" t="s">
        <v>340</v>
      </c>
      <c r="C633" s="222" t="s">
        <v>341</v>
      </c>
      <c r="D633" s="186">
        <v>80</v>
      </c>
      <c r="E633" s="187">
        <v>7564</v>
      </c>
      <c r="F633" s="187">
        <f>ROUND(D633*E633,0)</f>
        <v>605120</v>
      </c>
    </row>
    <row r="634" spans="1:6" ht="42.75" x14ac:dyDescent="0.25">
      <c r="A634" s="222" t="s">
        <v>342</v>
      </c>
      <c r="B634" s="132" t="s">
        <v>343</v>
      </c>
      <c r="C634" s="222" t="s">
        <v>341</v>
      </c>
      <c r="D634" s="186">
        <v>168</v>
      </c>
      <c r="E634" s="187">
        <v>12418</v>
      </c>
      <c r="F634" s="187">
        <f>ROUND(D634*E634,0)</f>
        <v>2086224</v>
      </c>
    </row>
    <row r="635" spans="1:6" ht="42.75" x14ac:dyDescent="0.25">
      <c r="A635" s="222" t="s">
        <v>344</v>
      </c>
      <c r="B635" s="132" t="s">
        <v>345</v>
      </c>
      <c r="C635" s="222" t="s">
        <v>125</v>
      </c>
      <c r="D635" s="186">
        <v>4</v>
      </c>
      <c r="E635" s="187">
        <v>243668</v>
      </c>
      <c r="F635" s="187">
        <f>ROUND(D635*E635,0)</f>
        <v>974672</v>
      </c>
    </row>
    <row r="636" spans="1:6" x14ac:dyDescent="0.25">
      <c r="A636" s="222">
        <v>2</v>
      </c>
      <c r="B636" s="20" t="s">
        <v>347</v>
      </c>
      <c r="C636" s="222"/>
      <c r="D636" s="186"/>
      <c r="E636" s="187" t="s">
        <v>1</v>
      </c>
      <c r="F636" s="187"/>
    </row>
    <row r="637" spans="1:6" x14ac:dyDescent="0.25">
      <c r="A637" s="222" t="s">
        <v>348</v>
      </c>
      <c r="B637" s="120" t="s">
        <v>349</v>
      </c>
      <c r="C637" s="222" t="s">
        <v>115</v>
      </c>
      <c r="D637" s="186">
        <v>23.08</v>
      </c>
      <c r="E637" s="187">
        <v>141463</v>
      </c>
      <c r="F637" s="187">
        <f>ROUND(D637*E637,0)</f>
        <v>3264966</v>
      </c>
    </row>
    <row r="638" spans="1:6" ht="28.5" x14ac:dyDescent="0.25">
      <c r="A638" s="222">
        <v>2.2000000000000002</v>
      </c>
      <c r="B638" s="132" t="s">
        <v>350</v>
      </c>
      <c r="C638" s="222" t="s">
        <v>115</v>
      </c>
      <c r="D638" s="186">
        <v>1.3</v>
      </c>
      <c r="E638" s="187">
        <v>114584</v>
      </c>
      <c r="F638" s="187">
        <f>ROUND(D638*E638,0)</f>
        <v>148959</v>
      </c>
    </row>
    <row r="639" spans="1:6" ht="28.5" x14ac:dyDescent="0.25">
      <c r="A639" s="222" t="s">
        <v>351</v>
      </c>
      <c r="B639" s="132" t="s">
        <v>464</v>
      </c>
      <c r="C639" s="222" t="s">
        <v>115</v>
      </c>
      <c r="D639" s="186">
        <v>0.5</v>
      </c>
      <c r="E639" s="187">
        <v>107656</v>
      </c>
      <c r="F639" s="187">
        <f>ROUND(D639*E639,0)</f>
        <v>53828</v>
      </c>
    </row>
    <row r="640" spans="1:6" ht="28.5" x14ac:dyDescent="0.25">
      <c r="A640" s="222" t="s">
        <v>515</v>
      </c>
      <c r="B640" s="9" t="s">
        <v>527</v>
      </c>
      <c r="C640" s="222" t="s">
        <v>115</v>
      </c>
      <c r="D640" s="186">
        <v>0.5</v>
      </c>
      <c r="E640" s="187">
        <v>114583</v>
      </c>
      <c r="F640" s="187">
        <f>ROUND(D640*E640,0)</f>
        <v>57292</v>
      </c>
    </row>
    <row r="641" spans="1:6" x14ac:dyDescent="0.25">
      <c r="A641" s="222">
        <v>3</v>
      </c>
      <c r="B641" s="195" t="s">
        <v>353</v>
      </c>
      <c r="C641" s="222"/>
      <c r="D641" s="186"/>
      <c r="E641" s="187" t="s">
        <v>1</v>
      </c>
      <c r="F641" s="187"/>
    </row>
    <row r="642" spans="1:6" ht="28.5" x14ac:dyDescent="0.25">
      <c r="A642" s="222" t="s">
        <v>354</v>
      </c>
      <c r="B642" s="132" t="s">
        <v>355</v>
      </c>
      <c r="C642" s="222" t="s">
        <v>115</v>
      </c>
      <c r="D642" s="186">
        <v>100.5</v>
      </c>
      <c r="E642" s="187">
        <v>36641</v>
      </c>
      <c r="F642" s="187">
        <f>ROUND(D642*E642,0)</f>
        <v>3682421</v>
      </c>
    </row>
    <row r="643" spans="1:6" x14ac:dyDescent="0.25">
      <c r="A643" s="222">
        <v>4</v>
      </c>
      <c r="B643" s="195" t="s">
        <v>356</v>
      </c>
      <c r="C643" s="222"/>
      <c r="D643" s="186"/>
      <c r="E643" s="187" t="s">
        <v>1</v>
      </c>
      <c r="F643" s="187"/>
    </row>
    <row r="644" spans="1:6" ht="28.5" x14ac:dyDescent="0.25">
      <c r="A644" s="222" t="s">
        <v>357</v>
      </c>
      <c r="B644" s="132" t="s">
        <v>358</v>
      </c>
      <c r="C644" s="222" t="s">
        <v>115</v>
      </c>
      <c r="D644" s="186">
        <v>340.47</v>
      </c>
      <c r="E644" s="187">
        <v>30196</v>
      </c>
      <c r="F644" s="187">
        <f>ROUND(D644*E644,0)</f>
        <v>10280832</v>
      </c>
    </row>
    <row r="645" spans="1:6" x14ac:dyDescent="0.25">
      <c r="A645" s="222">
        <v>4.2</v>
      </c>
      <c r="B645" s="132" t="s">
        <v>359</v>
      </c>
      <c r="C645" s="222" t="s">
        <v>115</v>
      </c>
      <c r="D645" s="186">
        <v>34.619999999999997</v>
      </c>
      <c r="E645" s="187">
        <v>35903</v>
      </c>
      <c r="F645" s="187">
        <f>ROUND(D645*E645,0)</f>
        <v>1242962</v>
      </c>
    </row>
    <row r="646" spans="1:6" x14ac:dyDescent="0.25">
      <c r="A646" s="222">
        <v>4.3</v>
      </c>
      <c r="B646" s="132" t="s">
        <v>407</v>
      </c>
      <c r="C646" s="222" t="s">
        <v>18</v>
      </c>
      <c r="D646" s="186">
        <v>45</v>
      </c>
      <c r="E646" s="187">
        <v>34497</v>
      </c>
      <c r="F646" s="187">
        <f>ROUND(D646*E646,0)</f>
        <v>1552365</v>
      </c>
    </row>
    <row r="647" spans="1:6" x14ac:dyDescent="0.25">
      <c r="A647" s="222">
        <v>5</v>
      </c>
      <c r="B647" s="195" t="s">
        <v>361</v>
      </c>
      <c r="C647" s="222"/>
      <c r="D647" s="186"/>
      <c r="E647" s="187" t="s">
        <v>1</v>
      </c>
      <c r="F647" s="187"/>
    </row>
    <row r="648" spans="1:6" ht="28.5" x14ac:dyDescent="0.25">
      <c r="A648" s="222" t="s">
        <v>362</v>
      </c>
      <c r="B648" s="132" t="s">
        <v>363</v>
      </c>
      <c r="C648" s="222" t="s">
        <v>115</v>
      </c>
      <c r="D648" s="186">
        <v>292.93</v>
      </c>
      <c r="E648" s="187">
        <v>24785</v>
      </c>
      <c r="F648" s="187">
        <f>ROUND(D648*E648,0)</f>
        <v>7260270</v>
      </c>
    </row>
    <row r="649" spans="1:6" ht="28.5" x14ac:dyDescent="0.25">
      <c r="A649" s="222" t="s">
        <v>364</v>
      </c>
      <c r="B649" s="132" t="s">
        <v>365</v>
      </c>
      <c r="C649" s="222" t="s">
        <v>115</v>
      </c>
      <c r="D649" s="186">
        <v>34.619999999999997</v>
      </c>
      <c r="E649" s="187">
        <v>106445</v>
      </c>
      <c r="F649" s="187">
        <f>ROUND(D649*E649,0)</f>
        <v>3685126</v>
      </c>
    </row>
    <row r="650" spans="1:6" ht="30" x14ac:dyDescent="0.25">
      <c r="A650" s="222">
        <v>6</v>
      </c>
      <c r="B650" s="195" t="s">
        <v>366</v>
      </c>
      <c r="C650" s="222"/>
      <c r="D650" s="186"/>
      <c r="E650" s="187" t="s">
        <v>1</v>
      </c>
      <c r="F650" s="187"/>
    </row>
    <row r="651" spans="1:6" ht="28.5" x14ac:dyDescent="0.25">
      <c r="A651" s="222" t="s">
        <v>367</v>
      </c>
      <c r="B651" s="132" t="s">
        <v>368</v>
      </c>
      <c r="C651" s="222" t="s">
        <v>115</v>
      </c>
      <c r="D651" s="186">
        <v>3.44</v>
      </c>
      <c r="E651" s="187">
        <v>99425</v>
      </c>
      <c r="F651" s="187">
        <f>ROUND(D651*E651,0)</f>
        <v>342022</v>
      </c>
    </row>
    <row r="652" spans="1:6" ht="42.75" x14ac:dyDescent="0.25">
      <c r="A652" s="222">
        <v>6.2</v>
      </c>
      <c r="B652" s="132" t="s">
        <v>519</v>
      </c>
      <c r="C652" s="222" t="s">
        <v>115</v>
      </c>
      <c r="D652" s="186">
        <v>23.08</v>
      </c>
      <c r="E652" s="187">
        <v>190032</v>
      </c>
      <c r="F652" s="187">
        <f>ROUND(D652*E652,0)</f>
        <v>4385939</v>
      </c>
    </row>
    <row r="653" spans="1:6" ht="28.5" x14ac:dyDescent="0.25">
      <c r="A653" s="222">
        <v>6.3</v>
      </c>
      <c r="B653" s="132" t="s">
        <v>370</v>
      </c>
      <c r="C653" s="222" t="s">
        <v>115</v>
      </c>
      <c r="D653" s="186">
        <v>43.72</v>
      </c>
      <c r="E653" s="187">
        <v>100848</v>
      </c>
      <c r="F653" s="187">
        <f>ROUND(D653*E653,0)</f>
        <v>4409075</v>
      </c>
    </row>
    <row r="654" spans="1:6" x14ac:dyDescent="0.25">
      <c r="A654" s="222">
        <v>7</v>
      </c>
      <c r="B654" s="195" t="s">
        <v>371</v>
      </c>
      <c r="C654" s="222"/>
      <c r="D654" s="186"/>
      <c r="E654" s="187" t="s">
        <v>1</v>
      </c>
      <c r="F654" s="187"/>
    </row>
    <row r="655" spans="1:6" ht="42.75" x14ac:dyDescent="0.25">
      <c r="A655" s="222" t="s">
        <v>372</v>
      </c>
      <c r="B655" s="132" t="s">
        <v>520</v>
      </c>
      <c r="C655" s="222" t="s">
        <v>18</v>
      </c>
      <c r="D655" s="186">
        <v>72</v>
      </c>
      <c r="E655" s="187">
        <v>13960</v>
      </c>
      <c r="F655" s="187">
        <f>ROUND(D655*E655,0)</f>
        <v>1005120</v>
      </c>
    </row>
    <row r="656" spans="1:6" ht="42.75" x14ac:dyDescent="0.25">
      <c r="A656" s="222">
        <v>7.2</v>
      </c>
      <c r="B656" s="132" t="s">
        <v>565</v>
      </c>
      <c r="C656" s="222" t="s">
        <v>18</v>
      </c>
      <c r="D656" s="186">
        <v>28</v>
      </c>
      <c r="E656" s="187">
        <v>22867</v>
      </c>
      <c r="F656" s="187">
        <f>ROUND(D656*E656,0)</f>
        <v>640276</v>
      </c>
    </row>
    <row r="657" spans="1:6" ht="42.75" x14ac:dyDescent="0.25">
      <c r="A657" s="222" t="s">
        <v>374</v>
      </c>
      <c r="B657" s="132" t="s">
        <v>566</v>
      </c>
      <c r="C657" s="222" t="s">
        <v>18</v>
      </c>
      <c r="D657" s="186">
        <v>76</v>
      </c>
      <c r="E657" s="187">
        <v>32014</v>
      </c>
      <c r="F657" s="187">
        <f>ROUND(D657*E657,0)</f>
        <v>2433064</v>
      </c>
    </row>
    <row r="658" spans="1:6" ht="28.5" x14ac:dyDescent="0.25">
      <c r="A658" s="222">
        <v>7.3</v>
      </c>
      <c r="B658" s="132" t="s">
        <v>377</v>
      </c>
      <c r="C658" s="222" t="s">
        <v>125</v>
      </c>
      <c r="D658" s="186">
        <v>5</v>
      </c>
      <c r="E658" s="187">
        <v>103880</v>
      </c>
      <c r="F658" s="187">
        <f t="shared" ref="F658:F666" si="30">ROUND(D658*E658,0)</f>
        <v>519400</v>
      </c>
    </row>
    <row r="659" spans="1:6" ht="28.5" x14ac:dyDescent="0.25">
      <c r="A659" s="222">
        <v>7.4</v>
      </c>
      <c r="B659" s="132" t="s">
        <v>379</v>
      </c>
      <c r="C659" s="222" t="s">
        <v>125</v>
      </c>
      <c r="D659" s="186">
        <v>4</v>
      </c>
      <c r="E659" s="187">
        <v>62174</v>
      </c>
      <c r="F659" s="187">
        <f t="shared" si="30"/>
        <v>248696</v>
      </c>
    </row>
    <row r="660" spans="1:6" ht="28.5" x14ac:dyDescent="0.25">
      <c r="A660" s="222">
        <v>7.5</v>
      </c>
      <c r="B660" s="132" t="s">
        <v>381</v>
      </c>
      <c r="C660" s="222" t="s">
        <v>18</v>
      </c>
      <c r="D660" s="186">
        <v>6</v>
      </c>
      <c r="E660" s="187">
        <v>721405</v>
      </c>
      <c r="F660" s="187">
        <f t="shared" si="30"/>
        <v>4328430</v>
      </c>
    </row>
    <row r="661" spans="1:6" ht="28.5" x14ac:dyDescent="0.25">
      <c r="A661" s="222">
        <v>7.6</v>
      </c>
      <c r="B661" s="132" t="s">
        <v>383</v>
      </c>
      <c r="C661" s="222" t="s">
        <v>125</v>
      </c>
      <c r="D661" s="186">
        <v>2</v>
      </c>
      <c r="E661" s="187">
        <v>605385</v>
      </c>
      <c r="F661" s="187">
        <f t="shared" si="30"/>
        <v>1210770</v>
      </c>
    </row>
    <row r="662" spans="1:6" ht="28.5" x14ac:dyDescent="0.25">
      <c r="A662" s="222">
        <v>7.7</v>
      </c>
      <c r="B662" s="132" t="s">
        <v>385</v>
      </c>
      <c r="C662" s="222" t="s">
        <v>125</v>
      </c>
      <c r="D662" s="186">
        <v>2</v>
      </c>
      <c r="E662" s="187">
        <v>574732</v>
      </c>
      <c r="F662" s="187">
        <f t="shared" si="30"/>
        <v>1149464</v>
      </c>
    </row>
    <row r="663" spans="1:6" ht="28.5" x14ac:dyDescent="0.25">
      <c r="A663" s="222">
        <v>7.8</v>
      </c>
      <c r="B663" s="132" t="s">
        <v>387</v>
      </c>
      <c r="C663" s="222" t="s">
        <v>23</v>
      </c>
      <c r="D663" s="186">
        <v>8</v>
      </c>
      <c r="E663" s="187">
        <v>419235</v>
      </c>
      <c r="F663" s="187">
        <f t="shared" si="30"/>
        <v>3353880</v>
      </c>
    </row>
    <row r="664" spans="1:6" ht="71.25" x14ac:dyDescent="0.25">
      <c r="A664" s="222">
        <v>7.9</v>
      </c>
      <c r="B664" s="9" t="s">
        <v>389</v>
      </c>
      <c r="C664" s="222" t="s">
        <v>125</v>
      </c>
      <c r="D664" s="186">
        <v>4</v>
      </c>
      <c r="E664" s="187">
        <v>1875342</v>
      </c>
      <c r="F664" s="187">
        <f t="shared" si="30"/>
        <v>7501368</v>
      </c>
    </row>
    <row r="665" spans="1:6" ht="57" x14ac:dyDescent="0.25">
      <c r="A665" s="325" t="s">
        <v>388</v>
      </c>
      <c r="B665" s="132" t="s">
        <v>512</v>
      </c>
      <c r="C665" s="222" t="s">
        <v>125</v>
      </c>
      <c r="D665" s="186">
        <v>2</v>
      </c>
      <c r="E665" s="187">
        <v>742762</v>
      </c>
      <c r="F665" s="187">
        <f t="shared" si="30"/>
        <v>1485524</v>
      </c>
    </row>
    <row r="666" spans="1:6" x14ac:dyDescent="0.25">
      <c r="A666" s="222" t="s">
        <v>390</v>
      </c>
      <c r="B666" s="132" t="s">
        <v>526</v>
      </c>
      <c r="C666" s="222" t="s">
        <v>125</v>
      </c>
      <c r="D666" s="186">
        <v>8</v>
      </c>
      <c r="E666" s="187">
        <v>66314</v>
      </c>
      <c r="F666" s="187">
        <f t="shared" si="30"/>
        <v>530512</v>
      </c>
    </row>
    <row r="667" spans="1:6" x14ac:dyDescent="0.25">
      <c r="A667" s="222">
        <v>8</v>
      </c>
      <c r="B667" s="195" t="s">
        <v>394</v>
      </c>
      <c r="C667" s="222"/>
      <c r="D667" s="186"/>
      <c r="E667" s="187">
        <v>0</v>
      </c>
      <c r="F667" s="187"/>
    </row>
    <row r="668" spans="1:6" x14ac:dyDescent="0.25">
      <c r="A668" s="222" t="s">
        <v>395</v>
      </c>
      <c r="B668" s="132" t="s">
        <v>396</v>
      </c>
      <c r="C668" s="222" t="s">
        <v>18</v>
      </c>
      <c r="D668" s="186">
        <v>318.39999999999998</v>
      </c>
      <c r="E668" s="187">
        <v>14248</v>
      </c>
      <c r="F668" s="187">
        <f>ROUND(D668*E668,0)</f>
        <v>4536563</v>
      </c>
    </row>
    <row r="669" spans="1:6" ht="42.75" x14ac:dyDescent="0.25">
      <c r="A669" s="222" t="s">
        <v>397</v>
      </c>
      <c r="B669" s="9" t="s">
        <v>398</v>
      </c>
      <c r="C669" s="222" t="s">
        <v>115</v>
      </c>
      <c r="D669" s="186">
        <v>23.08</v>
      </c>
      <c r="E669" s="187">
        <v>1114387</v>
      </c>
      <c r="F669" s="187">
        <f>ROUND(D669*E669,0)</f>
        <v>25720052</v>
      </c>
    </row>
    <row r="670" spans="1:6" ht="28.5" x14ac:dyDescent="0.25">
      <c r="A670" s="222">
        <v>8.4</v>
      </c>
      <c r="B670" s="196" t="s">
        <v>400</v>
      </c>
      <c r="C670" s="222" t="s">
        <v>115</v>
      </c>
      <c r="D670" s="186">
        <v>3.39</v>
      </c>
      <c r="E670" s="187">
        <v>761635</v>
      </c>
      <c r="F670" s="187">
        <f>ROUND(D670*E670,0)</f>
        <v>2581943</v>
      </c>
    </row>
    <row r="671" spans="1:6" ht="43.5" x14ac:dyDescent="0.25">
      <c r="A671" s="222">
        <v>8.6</v>
      </c>
      <c r="B671" s="17" t="s">
        <v>820</v>
      </c>
      <c r="C671" s="222" t="s">
        <v>55</v>
      </c>
      <c r="D671" s="31">
        <v>4</v>
      </c>
      <c r="E671" s="59">
        <f>1673138</f>
        <v>1673138</v>
      </c>
      <c r="F671" s="187">
        <f t="shared" ref="F671:F672" si="31">D671*E671</f>
        <v>6692552</v>
      </c>
    </row>
    <row r="672" spans="1:6" ht="29.25" x14ac:dyDescent="0.25">
      <c r="A672" s="222">
        <v>8.6999999999999993</v>
      </c>
      <c r="B672" s="17" t="s">
        <v>819</v>
      </c>
      <c r="C672" s="222" t="s">
        <v>23</v>
      </c>
      <c r="D672" s="31">
        <v>1</v>
      </c>
      <c r="E672" s="58">
        <v>788768</v>
      </c>
      <c r="F672" s="187">
        <f t="shared" si="31"/>
        <v>788768</v>
      </c>
    </row>
    <row r="673" spans="1:14" x14ac:dyDescent="0.25">
      <c r="A673" s="219"/>
      <c r="B673" s="268" t="s">
        <v>56</v>
      </c>
      <c r="C673" s="219"/>
      <c r="D673" s="277"/>
      <c r="E673" s="326"/>
      <c r="F673" s="94">
        <f>SUM(F633:F672)</f>
        <v>108758455</v>
      </c>
    </row>
    <row r="674" spans="1:14" x14ac:dyDescent="0.25">
      <c r="A674" s="120"/>
      <c r="B674" s="120" t="s">
        <v>60</v>
      </c>
      <c r="C674" s="120"/>
      <c r="D674" s="120"/>
      <c r="E674" s="120"/>
      <c r="F674" s="35">
        <f>ROUND(F673/1.3495,0)</f>
        <v>80591667</v>
      </c>
    </row>
    <row r="675" spans="1:14" x14ac:dyDescent="0.25">
      <c r="A675" s="120"/>
      <c r="B675" s="120" t="s">
        <v>61</v>
      </c>
      <c r="C675" s="133">
        <v>0.24</v>
      </c>
      <c r="D675" s="120"/>
      <c r="E675" s="120"/>
      <c r="F675" s="35">
        <f>ROUND(F674*C675,0)</f>
        <v>19342000</v>
      </c>
    </row>
    <row r="676" spans="1:14" x14ac:dyDescent="0.25">
      <c r="A676" s="120"/>
      <c r="B676" s="120" t="s">
        <v>57</v>
      </c>
      <c r="C676" s="133">
        <v>0.05</v>
      </c>
      <c r="D676" s="120"/>
      <c r="E676" s="120"/>
      <c r="F676" s="35">
        <f>ROUND(F674*C676,0)</f>
        <v>4029583</v>
      </c>
    </row>
    <row r="677" spans="1:14" x14ac:dyDescent="0.25">
      <c r="A677" s="120"/>
      <c r="B677" s="120" t="s">
        <v>62</v>
      </c>
      <c r="C677" s="133">
        <v>0.05</v>
      </c>
      <c r="D677" s="120"/>
      <c r="E677" s="120"/>
      <c r="F677" s="35">
        <f>ROUND(F674*C677,0)</f>
        <v>4029583</v>
      </c>
    </row>
    <row r="678" spans="1:14" x14ac:dyDescent="0.25">
      <c r="A678" s="120"/>
      <c r="B678" s="132" t="s">
        <v>63</v>
      </c>
      <c r="C678" s="133">
        <v>0.19</v>
      </c>
      <c r="D678" s="120"/>
      <c r="E678" s="120"/>
      <c r="F678" s="35">
        <f>ROUND(F677*19%,0)</f>
        <v>765621</v>
      </c>
    </row>
    <row r="679" spans="1:14" x14ac:dyDescent="0.25">
      <c r="A679" s="120"/>
      <c r="B679" s="268" t="s">
        <v>56</v>
      </c>
      <c r="C679" s="120"/>
      <c r="D679" s="120"/>
      <c r="E679" s="120"/>
      <c r="F679" s="95">
        <f>SUM(F674:F678)</f>
        <v>108758454</v>
      </c>
    </row>
    <row r="680" spans="1:14" x14ac:dyDescent="0.25">
      <c r="A680" s="81"/>
      <c r="B680" s="81"/>
      <c r="C680" s="81"/>
      <c r="D680" s="81"/>
      <c r="E680" s="81"/>
      <c r="F680" s="81"/>
    </row>
    <row r="681" spans="1:14" x14ac:dyDescent="0.25">
      <c r="A681" s="81"/>
      <c r="B681" s="81"/>
      <c r="C681" s="81"/>
      <c r="D681" s="81"/>
      <c r="E681" s="81"/>
      <c r="F681" s="81"/>
    </row>
    <row r="682" spans="1:14" x14ac:dyDescent="0.25">
      <c r="A682" s="81"/>
      <c r="B682" s="81"/>
      <c r="C682" s="81"/>
      <c r="D682" s="81"/>
      <c r="E682" s="81"/>
      <c r="F682" s="81"/>
    </row>
    <row r="683" spans="1:14" x14ac:dyDescent="0.25">
      <c r="A683" s="81"/>
      <c r="B683" s="81"/>
      <c r="C683" s="81"/>
      <c r="D683" s="81"/>
      <c r="E683" s="81"/>
      <c r="F683" s="81"/>
    </row>
    <row r="684" spans="1:14" x14ac:dyDescent="0.25">
      <c r="A684" s="81"/>
      <c r="B684" s="81"/>
      <c r="C684" s="81"/>
      <c r="D684" s="81"/>
      <c r="E684" s="81"/>
      <c r="F684" s="81"/>
    </row>
    <row r="685" spans="1:14" ht="18" x14ac:dyDescent="0.25">
      <c r="A685" s="81"/>
      <c r="B685" s="301" t="s">
        <v>508</v>
      </c>
      <c r="C685" s="81"/>
      <c r="D685" s="81"/>
      <c r="E685" s="81"/>
      <c r="F685" s="137">
        <f>F673+F621+F572+F525+F479+F428+F383+F336+F295+F255+F221+F193+F153+F125+F85+F45+F25</f>
        <v>1212646711.2</v>
      </c>
      <c r="G685" s="53"/>
      <c r="H685" s="3"/>
      <c r="K685" s="53"/>
      <c r="L685" s="3"/>
      <c r="M685" s="2"/>
      <c r="N685" s="3"/>
    </row>
    <row r="686" spans="1:14" x14ac:dyDescent="0.25">
      <c r="H686" s="3" t="s">
        <v>1</v>
      </c>
    </row>
    <row r="687" spans="1:14" x14ac:dyDescent="0.25">
      <c r="H687" s="3" t="s">
        <v>1</v>
      </c>
    </row>
  </sheetData>
  <mergeCells count="48">
    <mergeCell ref="A533:F533"/>
    <mergeCell ref="A580:F580"/>
    <mergeCell ref="A487:F487"/>
    <mergeCell ref="A629:F629"/>
    <mergeCell ref="A196:A197"/>
    <mergeCell ref="B196:B197"/>
    <mergeCell ref="C196:C197"/>
    <mergeCell ref="D196:F196"/>
    <mergeCell ref="A229:F229"/>
    <mergeCell ref="A230:A231"/>
    <mergeCell ref="D230:F230"/>
    <mergeCell ref="C198:E198"/>
    <mergeCell ref="A344:F344"/>
    <mergeCell ref="A436:F436"/>
    <mergeCell ref="A391:F391"/>
    <mergeCell ref="C266:E266"/>
    <mergeCell ref="A93:F93"/>
    <mergeCell ref="A4:F4"/>
    <mergeCell ref="A33:F33"/>
    <mergeCell ref="A53:F53"/>
    <mergeCell ref="B2:F2"/>
    <mergeCell ref="A127:F127"/>
    <mergeCell ref="A94:A95"/>
    <mergeCell ref="B94:B95"/>
    <mergeCell ref="C94:C95"/>
    <mergeCell ref="D94:F94"/>
    <mergeCell ref="C96:E96"/>
    <mergeCell ref="C128:C129"/>
    <mergeCell ref="D128:F128"/>
    <mergeCell ref="C130:E130"/>
    <mergeCell ref="A128:A129"/>
    <mergeCell ref="B128:B129"/>
    <mergeCell ref="A161:F161"/>
    <mergeCell ref="A162:A163"/>
    <mergeCell ref="B162:B163"/>
    <mergeCell ref="C162:C163"/>
    <mergeCell ref="D162:F162"/>
    <mergeCell ref="A297:F297"/>
    <mergeCell ref="C164:E164"/>
    <mergeCell ref="A195:F195"/>
    <mergeCell ref="C232:E232"/>
    <mergeCell ref="A263:F263"/>
    <mergeCell ref="A264:A265"/>
    <mergeCell ref="D264:F264"/>
    <mergeCell ref="B230:B231"/>
    <mergeCell ref="C230:C231"/>
    <mergeCell ref="B264:B265"/>
    <mergeCell ref="C264:C265"/>
  </mergeCells>
  <pageMargins left="0.70866141732283472" right="0.70866141732283472" top="0.74803149606299213" bottom="0.74803149606299213" header="0.31496062992125984" footer="0.31496062992125984"/>
  <pageSetup scale="80" orientation="portrait" horizontalDpi="4294967295" verticalDpi="4294967295" r:id="rId1"/>
  <headerFooter>
    <oddHeader>&amp;C&amp;P de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20"/>
  <sheetViews>
    <sheetView view="pageLayout" zoomScaleNormal="100" workbookViewId="0">
      <selection activeCell="A9" sqref="A9"/>
    </sheetView>
  </sheetViews>
  <sheetFormatPr baseColWidth="10" defaultRowHeight="15" x14ac:dyDescent="0.25"/>
  <cols>
    <col min="1" max="1" width="11.5703125" style="81" bestFit="1" customWidth="1"/>
    <col min="2" max="2" width="35.140625" style="81" customWidth="1"/>
    <col min="3" max="3" width="11.42578125" style="81"/>
    <col min="4" max="4" width="11.5703125" style="81" bestFit="1" customWidth="1"/>
    <col min="5" max="5" width="18.5703125" style="81" customWidth="1"/>
    <col min="6" max="6" width="20.5703125" style="81" customWidth="1"/>
    <col min="7" max="7" width="12.5703125" style="81" bestFit="1" customWidth="1"/>
    <col min="8" max="8" width="14.140625" style="81" bestFit="1" customWidth="1"/>
    <col min="9" max="9" width="17.7109375" style="81" customWidth="1"/>
    <col min="10" max="10" width="18.85546875" style="81" customWidth="1"/>
    <col min="11" max="11" width="11.42578125" style="81"/>
    <col min="12" max="12" width="19.28515625" style="81" customWidth="1"/>
    <col min="13" max="13" width="16.85546875" style="81" customWidth="1"/>
    <col min="14" max="14" width="11.42578125" style="81"/>
    <col min="15" max="15" width="14.140625" style="81" bestFit="1" customWidth="1"/>
    <col min="16" max="16384" width="11.42578125" style="81"/>
  </cols>
  <sheetData>
    <row r="2" spans="1:9" ht="15.75" x14ac:dyDescent="0.25">
      <c r="B2" s="496" t="s">
        <v>448</v>
      </c>
      <c r="C2" s="496"/>
      <c r="D2" s="496"/>
      <c r="E2" s="496"/>
      <c r="F2" s="496"/>
      <c r="G2" s="300"/>
    </row>
    <row r="5" spans="1:9" ht="44.25" customHeight="1" x14ac:dyDescent="0.25">
      <c r="A5" s="489" t="s">
        <v>982</v>
      </c>
      <c r="B5" s="489"/>
      <c r="C5" s="489"/>
      <c r="D5" s="489"/>
      <c r="E5" s="489"/>
      <c r="F5" s="489"/>
    </row>
    <row r="6" spans="1:9" x14ac:dyDescent="0.25">
      <c r="A6" s="185" t="s">
        <v>421</v>
      </c>
      <c r="B6" s="185" t="s">
        <v>422</v>
      </c>
      <c r="C6" s="185" t="s">
        <v>423</v>
      </c>
      <c r="D6" s="185" t="s">
        <v>13</v>
      </c>
      <c r="E6" s="185" t="s">
        <v>424</v>
      </c>
      <c r="F6" s="185" t="s">
        <v>425</v>
      </c>
    </row>
    <row r="7" spans="1:9" x14ac:dyDescent="0.25">
      <c r="A7" s="54"/>
      <c r="B7" s="54"/>
      <c r="C7" s="54"/>
      <c r="D7" s="54"/>
      <c r="E7" s="54"/>
      <c r="F7" s="54"/>
    </row>
    <row r="8" spans="1:9" x14ac:dyDescent="0.25">
      <c r="A8" s="286" t="s">
        <v>338</v>
      </c>
      <c r="B8" s="11" t="s">
        <v>16</v>
      </c>
      <c r="C8" s="286"/>
      <c r="D8" s="177"/>
      <c r="E8" s="178"/>
      <c r="F8" s="178"/>
    </row>
    <row r="9" spans="1:9" ht="43.5" x14ac:dyDescent="0.25">
      <c r="A9" s="286" t="s">
        <v>339</v>
      </c>
      <c r="B9" s="13" t="s">
        <v>340</v>
      </c>
      <c r="C9" s="286" t="s">
        <v>341</v>
      </c>
      <c r="D9" s="177">
        <v>100</v>
      </c>
      <c r="E9" s="187">
        <v>7564</v>
      </c>
      <c r="F9" s="178">
        <f>ROUND(D9*E9,0)</f>
        <v>756400</v>
      </c>
      <c r="I9" s="80"/>
    </row>
    <row r="10" spans="1:9" ht="43.5" x14ac:dyDescent="0.25">
      <c r="A10" s="286" t="s">
        <v>342</v>
      </c>
      <c r="B10" s="13" t="s">
        <v>343</v>
      </c>
      <c r="C10" s="286" t="s">
        <v>341</v>
      </c>
      <c r="D10" s="177">
        <v>211</v>
      </c>
      <c r="E10" s="178">
        <v>12418</v>
      </c>
      <c r="F10" s="178">
        <f>ROUND(D10*E10,0)</f>
        <v>2620198</v>
      </c>
      <c r="I10" s="80"/>
    </row>
    <row r="11" spans="1:9" ht="29.25" x14ac:dyDescent="0.25">
      <c r="A11" s="286" t="s">
        <v>344</v>
      </c>
      <c r="B11" s="13" t="s">
        <v>567</v>
      </c>
      <c r="C11" s="286" t="s">
        <v>341</v>
      </c>
      <c r="D11" s="177">
        <v>4</v>
      </c>
      <c r="E11" s="178">
        <v>243668</v>
      </c>
      <c r="F11" s="178">
        <f>ROUND(D11*E11,0)</f>
        <v>974672</v>
      </c>
      <c r="I11" s="80"/>
    </row>
    <row r="12" spans="1:9" x14ac:dyDescent="0.25">
      <c r="A12" s="286">
        <v>2</v>
      </c>
      <c r="B12" s="11" t="s">
        <v>347</v>
      </c>
      <c r="C12" s="286"/>
      <c r="D12" s="177"/>
      <c r="E12" s="178" t="s">
        <v>1</v>
      </c>
      <c r="F12" s="178"/>
      <c r="I12" s="80"/>
    </row>
    <row r="13" spans="1:9" x14ac:dyDescent="0.25">
      <c r="A13" s="286" t="s">
        <v>348</v>
      </c>
      <c r="B13" s="19" t="s">
        <v>349</v>
      </c>
      <c r="C13" s="286" t="s">
        <v>115</v>
      </c>
      <c r="D13" s="177">
        <v>1.8</v>
      </c>
      <c r="E13" s="178">
        <v>141463</v>
      </c>
      <c r="F13" s="178">
        <f>ROUND(D13*E13,0)</f>
        <v>254633</v>
      </c>
      <c r="I13" s="80"/>
    </row>
    <row r="14" spans="1:9" ht="29.25" x14ac:dyDescent="0.25">
      <c r="A14" s="286">
        <v>2.2000000000000002</v>
      </c>
      <c r="B14" s="13" t="s">
        <v>350</v>
      </c>
      <c r="C14" s="286" t="s">
        <v>115</v>
      </c>
      <c r="D14" s="177">
        <v>1.2</v>
      </c>
      <c r="E14" s="178">
        <v>114584</v>
      </c>
      <c r="F14" s="178">
        <f>ROUND(D14*E14,0)</f>
        <v>137501</v>
      </c>
      <c r="I14" s="80"/>
    </row>
    <row r="15" spans="1:9" ht="29.25" x14ac:dyDescent="0.25">
      <c r="A15" s="286" t="s">
        <v>351</v>
      </c>
      <c r="B15" s="13" t="s">
        <v>464</v>
      </c>
      <c r="C15" s="286" t="s">
        <v>115</v>
      </c>
      <c r="D15" s="177">
        <v>3.45</v>
      </c>
      <c r="E15" s="178">
        <v>107656</v>
      </c>
      <c r="F15" s="178">
        <f>ROUND(D15*E15,0)</f>
        <v>371413</v>
      </c>
      <c r="I15" s="80"/>
    </row>
    <row r="16" spans="1:9" ht="29.25" x14ac:dyDescent="0.25">
      <c r="A16" s="286" t="s">
        <v>515</v>
      </c>
      <c r="B16" s="17" t="s">
        <v>527</v>
      </c>
      <c r="C16" s="286" t="s">
        <v>115</v>
      </c>
      <c r="D16" s="177">
        <v>14.84</v>
      </c>
      <c r="E16" s="178">
        <v>113522</v>
      </c>
      <c r="F16" s="178">
        <f>ROUND(D16*E16,0)</f>
        <v>1684666</v>
      </c>
      <c r="I16" s="80"/>
    </row>
    <row r="17" spans="1:9" x14ac:dyDescent="0.25">
      <c r="A17" s="286">
        <v>3</v>
      </c>
      <c r="B17" s="179" t="s">
        <v>353</v>
      </c>
      <c r="C17" s="286"/>
      <c r="D17" s="177"/>
      <c r="E17" s="178" t="s">
        <v>1</v>
      </c>
      <c r="F17" s="178"/>
      <c r="I17" s="80"/>
    </row>
    <row r="18" spans="1:9" ht="29.25" x14ac:dyDescent="0.25">
      <c r="A18" s="286" t="s">
        <v>354</v>
      </c>
      <c r="B18" s="13" t="s">
        <v>355</v>
      </c>
      <c r="C18" s="286" t="s">
        <v>115</v>
      </c>
      <c r="D18" s="177">
        <v>103.9</v>
      </c>
      <c r="E18" s="178">
        <v>36641</v>
      </c>
      <c r="F18" s="178">
        <f>ROUND(D18*E18,0)</f>
        <v>3807000</v>
      </c>
      <c r="I18" s="80"/>
    </row>
    <row r="19" spans="1:9" x14ac:dyDescent="0.25">
      <c r="A19" s="286">
        <v>4</v>
      </c>
      <c r="B19" s="179" t="s">
        <v>356</v>
      </c>
      <c r="C19" s="286"/>
      <c r="D19" s="177"/>
      <c r="E19" s="178" t="s">
        <v>1</v>
      </c>
      <c r="F19" s="178"/>
      <c r="I19" s="80"/>
    </row>
    <row r="20" spans="1:9" ht="29.25" x14ac:dyDescent="0.25">
      <c r="A20" s="286" t="s">
        <v>357</v>
      </c>
      <c r="B20" s="13" t="s">
        <v>358</v>
      </c>
      <c r="C20" s="286" t="s">
        <v>115</v>
      </c>
      <c r="D20" s="177">
        <v>137.03</v>
      </c>
      <c r="E20" s="178">
        <v>30196</v>
      </c>
      <c r="F20" s="178">
        <f>ROUND(D20*E20,0)</f>
        <v>4137758</v>
      </c>
      <c r="I20" s="80"/>
    </row>
    <row r="21" spans="1:9" ht="29.25" x14ac:dyDescent="0.25">
      <c r="A21" s="286">
        <v>4.2</v>
      </c>
      <c r="B21" s="13" t="s">
        <v>359</v>
      </c>
      <c r="C21" s="286" t="s">
        <v>115</v>
      </c>
      <c r="D21" s="177">
        <v>26.01</v>
      </c>
      <c r="E21" s="178">
        <v>35903</v>
      </c>
      <c r="F21" s="178">
        <f>ROUND(D21*E21,0)</f>
        <v>933837</v>
      </c>
      <c r="I21" s="80"/>
    </row>
    <row r="22" spans="1:9" x14ac:dyDescent="0.25">
      <c r="A22" s="286">
        <v>4.3</v>
      </c>
      <c r="B22" s="13" t="s">
        <v>407</v>
      </c>
      <c r="C22" s="286" t="s">
        <v>18</v>
      </c>
      <c r="D22" s="177">
        <v>85</v>
      </c>
      <c r="E22" s="178">
        <v>36641</v>
      </c>
      <c r="F22" s="178">
        <f>ROUND(D22*E22,0)</f>
        <v>3114485</v>
      </c>
      <c r="I22" s="80"/>
    </row>
    <row r="23" spans="1:9" x14ac:dyDescent="0.25">
      <c r="A23" s="286">
        <v>5</v>
      </c>
      <c r="B23" s="179" t="s">
        <v>361</v>
      </c>
      <c r="C23" s="286"/>
      <c r="D23" s="177"/>
      <c r="E23" s="178"/>
      <c r="F23" s="178"/>
      <c r="I23" s="80"/>
    </row>
    <row r="24" spans="1:9" ht="29.25" x14ac:dyDescent="0.25">
      <c r="A24" s="286" t="s">
        <v>362</v>
      </c>
      <c r="B24" s="13" t="s">
        <v>363</v>
      </c>
      <c r="C24" s="286" t="s">
        <v>115</v>
      </c>
      <c r="D24" s="177">
        <v>94.03</v>
      </c>
      <c r="E24" s="178">
        <v>24785</v>
      </c>
      <c r="F24" s="178">
        <f>ROUND(D24*E24,0)</f>
        <v>2330534</v>
      </c>
      <c r="I24" s="80"/>
    </row>
    <row r="25" spans="1:9" ht="29.25" x14ac:dyDescent="0.25">
      <c r="A25" s="286" t="s">
        <v>364</v>
      </c>
      <c r="B25" s="13" t="s">
        <v>365</v>
      </c>
      <c r="C25" s="286" t="s">
        <v>115</v>
      </c>
      <c r="D25" s="177">
        <v>31.22</v>
      </c>
      <c r="E25" s="178">
        <v>106445</v>
      </c>
      <c r="F25" s="178">
        <f>ROUND(D25*E25,0)</f>
        <v>3323213</v>
      </c>
      <c r="I25" s="80"/>
    </row>
    <row r="26" spans="1:9" ht="30" x14ac:dyDescent="0.25">
      <c r="A26" s="286">
        <v>6</v>
      </c>
      <c r="B26" s="179" t="s">
        <v>366</v>
      </c>
      <c r="C26" s="286"/>
      <c r="D26" s="177"/>
      <c r="E26" s="178" t="s">
        <v>1</v>
      </c>
      <c r="F26" s="178"/>
      <c r="I26" s="80"/>
    </row>
    <row r="27" spans="1:9" ht="43.5" x14ac:dyDescent="0.25">
      <c r="A27" s="286" t="s">
        <v>367</v>
      </c>
      <c r="B27" s="13" t="s">
        <v>368</v>
      </c>
      <c r="C27" s="286" t="s">
        <v>115</v>
      </c>
      <c r="D27" s="177">
        <v>3.44</v>
      </c>
      <c r="E27" s="178">
        <v>99425</v>
      </c>
      <c r="F27" s="178">
        <f>ROUND(D27*E27,0)</f>
        <v>342022</v>
      </c>
      <c r="I27" s="80"/>
    </row>
    <row r="28" spans="1:9" ht="43.5" x14ac:dyDescent="0.25">
      <c r="A28" s="286">
        <v>6.2</v>
      </c>
      <c r="B28" s="13" t="s">
        <v>519</v>
      </c>
      <c r="C28" s="286" t="s">
        <v>115</v>
      </c>
      <c r="D28" s="177">
        <v>20.81</v>
      </c>
      <c r="E28" s="178">
        <v>190032</v>
      </c>
      <c r="F28" s="178">
        <f>ROUND(D28*E28,0)</f>
        <v>3954566</v>
      </c>
      <c r="I28" s="80"/>
    </row>
    <row r="29" spans="1:9" ht="29.25" x14ac:dyDescent="0.25">
      <c r="A29" s="286">
        <v>6.3</v>
      </c>
      <c r="B29" s="13" t="s">
        <v>370</v>
      </c>
      <c r="C29" s="286" t="s">
        <v>115</v>
      </c>
      <c r="D29" s="177">
        <v>43</v>
      </c>
      <c r="E29" s="178">
        <v>100848</v>
      </c>
      <c r="F29" s="178">
        <f>ROUND(D29*E29,0)</f>
        <v>4336464</v>
      </c>
      <c r="I29" s="80"/>
    </row>
    <row r="30" spans="1:9" x14ac:dyDescent="0.25">
      <c r="A30" s="286">
        <v>7</v>
      </c>
      <c r="B30" s="179" t="s">
        <v>371</v>
      </c>
      <c r="C30" s="286"/>
      <c r="D30" s="177"/>
      <c r="E30" s="178" t="s">
        <v>1</v>
      </c>
      <c r="F30" s="178"/>
      <c r="I30" s="80"/>
    </row>
    <row r="31" spans="1:9" ht="43.5" x14ac:dyDescent="0.25">
      <c r="A31" s="286" t="s">
        <v>372</v>
      </c>
      <c r="B31" s="13" t="s">
        <v>520</v>
      </c>
      <c r="C31" s="286" t="s">
        <v>18</v>
      </c>
      <c r="D31" s="177">
        <v>36</v>
      </c>
      <c r="E31" s="178">
        <v>13960</v>
      </c>
      <c r="F31" s="178">
        <f>ROUND(D31*E31,0)</f>
        <v>502560</v>
      </c>
      <c r="I31" s="80"/>
    </row>
    <row r="32" spans="1:9" ht="43.5" x14ac:dyDescent="0.25">
      <c r="A32" s="286">
        <v>7.2</v>
      </c>
      <c r="B32" s="13" t="s">
        <v>521</v>
      </c>
      <c r="C32" s="286" t="s">
        <v>18</v>
      </c>
      <c r="D32" s="177">
        <v>28</v>
      </c>
      <c r="E32" s="178">
        <v>22867</v>
      </c>
      <c r="F32" s="178">
        <f>ROUND(D32*E32,0)</f>
        <v>640276</v>
      </c>
      <c r="I32" s="80"/>
    </row>
    <row r="33" spans="1:9" ht="43.5" x14ac:dyDescent="0.25">
      <c r="A33" s="286" t="s">
        <v>374</v>
      </c>
      <c r="B33" s="13" t="s">
        <v>566</v>
      </c>
      <c r="C33" s="286" t="s">
        <v>18</v>
      </c>
      <c r="D33" s="177">
        <v>97</v>
      </c>
      <c r="E33" s="178">
        <v>27441</v>
      </c>
      <c r="F33" s="178">
        <f>ROUND(D33*E33,0)</f>
        <v>2661777</v>
      </c>
      <c r="I33" s="80"/>
    </row>
    <row r="34" spans="1:9" ht="29.25" x14ac:dyDescent="0.25">
      <c r="A34" s="286">
        <v>7.3</v>
      </c>
      <c r="B34" s="13" t="s">
        <v>377</v>
      </c>
      <c r="C34" s="286" t="s">
        <v>125</v>
      </c>
      <c r="D34" s="177">
        <v>2</v>
      </c>
      <c r="E34" s="178">
        <v>103880</v>
      </c>
      <c r="F34" s="178">
        <f t="shared" ref="F34:F42" si="0">ROUND(D34*E34,0)</f>
        <v>207760</v>
      </c>
      <c r="I34" s="80"/>
    </row>
    <row r="35" spans="1:9" ht="29.25" x14ac:dyDescent="0.25">
      <c r="A35" s="286">
        <v>7.4</v>
      </c>
      <c r="B35" s="13" t="s">
        <v>379</v>
      </c>
      <c r="C35" s="286" t="s">
        <v>125</v>
      </c>
      <c r="D35" s="177">
        <v>4</v>
      </c>
      <c r="E35" s="178">
        <v>69353</v>
      </c>
      <c r="F35" s="178">
        <f t="shared" si="0"/>
        <v>277412</v>
      </c>
      <c r="I35" s="80"/>
    </row>
    <row r="36" spans="1:9" ht="29.25" x14ac:dyDescent="0.25">
      <c r="A36" s="286">
        <v>7.5</v>
      </c>
      <c r="B36" s="13" t="s">
        <v>381</v>
      </c>
      <c r="C36" s="286" t="s">
        <v>18</v>
      </c>
      <c r="D36" s="177">
        <v>2.2000000000000002</v>
      </c>
      <c r="E36" s="178">
        <v>721405</v>
      </c>
      <c r="F36" s="178">
        <f t="shared" si="0"/>
        <v>1587091</v>
      </c>
      <c r="I36" s="80"/>
    </row>
    <row r="37" spans="1:9" ht="29.25" x14ac:dyDescent="0.25">
      <c r="A37" s="286">
        <v>7.6</v>
      </c>
      <c r="B37" s="13" t="s">
        <v>383</v>
      </c>
      <c r="C37" s="286" t="s">
        <v>125</v>
      </c>
      <c r="D37" s="177">
        <v>3</v>
      </c>
      <c r="E37" s="178">
        <v>605385</v>
      </c>
      <c r="F37" s="178">
        <f t="shared" si="0"/>
        <v>1816155</v>
      </c>
      <c r="I37" s="80"/>
    </row>
    <row r="38" spans="1:9" ht="29.25" x14ac:dyDescent="0.25">
      <c r="A38" s="286">
        <v>7.7</v>
      </c>
      <c r="B38" s="13" t="s">
        <v>385</v>
      </c>
      <c r="C38" s="286" t="s">
        <v>125</v>
      </c>
      <c r="D38" s="177">
        <v>3</v>
      </c>
      <c r="E38" s="178">
        <v>574732</v>
      </c>
      <c r="F38" s="178">
        <f t="shared" si="0"/>
        <v>1724196</v>
      </c>
      <c r="I38" s="80"/>
    </row>
    <row r="39" spans="1:9" ht="29.25" x14ac:dyDescent="0.25">
      <c r="A39" s="286">
        <v>7.8</v>
      </c>
      <c r="B39" s="13" t="s">
        <v>387</v>
      </c>
      <c r="C39" s="286" t="s">
        <v>23</v>
      </c>
      <c r="D39" s="177">
        <v>9</v>
      </c>
      <c r="E39" s="178">
        <v>419235</v>
      </c>
      <c r="F39" s="178">
        <f t="shared" si="0"/>
        <v>3773115</v>
      </c>
      <c r="I39" s="80"/>
    </row>
    <row r="40" spans="1:9" ht="72" x14ac:dyDescent="0.25">
      <c r="A40" s="286">
        <v>7.9</v>
      </c>
      <c r="B40" s="17" t="s">
        <v>568</v>
      </c>
      <c r="C40" s="286" t="s">
        <v>125</v>
      </c>
      <c r="D40" s="177">
        <v>4</v>
      </c>
      <c r="E40" s="178">
        <v>1875342</v>
      </c>
      <c r="F40" s="178">
        <f t="shared" si="0"/>
        <v>7501368</v>
      </c>
      <c r="I40" s="80"/>
    </row>
    <row r="41" spans="1:9" ht="57.75" x14ac:dyDescent="0.25">
      <c r="A41" s="322" t="s">
        <v>388</v>
      </c>
      <c r="B41" s="13" t="s">
        <v>512</v>
      </c>
      <c r="C41" s="286" t="s">
        <v>125</v>
      </c>
      <c r="D41" s="177">
        <v>3</v>
      </c>
      <c r="E41" s="178">
        <v>779473</v>
      </c>
      <c r="F41" s="178">
        <f t="shared" si="0"/>
        <v>2338419</v>
      </c>
      <c r="I41" s="80"/>
    </row>
    <row r="42" spans="1:9" x14ac:dyDescent="0.25">
      <c r="A42" s="286" t="s">
        <v>390</v>
      </c>
      <c r="B42" s="13" t="s">
        <v>526</v>
      </c>
      <c r="C42" s="286" t="s">
        <v>125</v>
      </c>
      <c r="D42" s="177">
        <v>9</v>
      </c>
      <c r="E42" s="178">
        <v>66314</v>
      </c>
      <c r="F42" s="178">
        <f t="shared" si="0"/>
        <v>596826</v>
      </c>
      <c r="I42" s="80"/>
    </row>
    <row r="43" spans="1:9" x14ac:dyDescent="0.25">
      <c r="A43" s="286">
        <v>8</v>
      </c>
      <c r="B43" s="179" t="s">
        <v>394</v>
      </c>
      <c r="C43" s="286"/>
      <c r="D43" s="177"/>
      <c r="E43" s="178">
        <v>0</v>
      </c>
      <c r="F43" s="178"/>
      <c r="I43" s="80"/>
    </row>
    <row r="44" spans="1:9" ht="29.25" x14ac:dyDescent="0.25">
      <c r="A44" s="286" t="s">
        <v>395</v>
      </c>
      <c r="B44" s="13" t="s">
        <v>396</v>
      </c>
      <c r="C44" s="286" t="s">
        <v>18</v>
      </c>
      <c r="D44" s="177">
        <v>291.2</v>
      </c>
      <c r="E44" s="178">
        <v>14248</v>
      </c>
      <c r="F44" s="178">
        <f>ROUND(D44*E44,0)</f>
        <v>4149018</v>
      </c>
      <c r="I44" s="80"/>
    </row>
    <row r="45" spans="1:9" ht="57" x14ac:dyDescent="0.25">
      <c r="A45" s="286">
        <v>8.3000000000000007</v>
      </c>
      <c r="B45" s="9" t="s">
        <v>563</v>
      </c>
      <c r="C45" s="286" t="s">
        <v>115</v>
      </c>
      <c r="D45" s="177">
        <v>16.649999999999999</v>
      </c>
      <c r="E45" s="178">
        <v>1293400</v>
      </c>
      <c r="F45" s="178">
        <f>ROUND(D45*E45,0)</f>
        <v>21535110</v>
      </c>
      <c r="I45" s="80"/>
    </row>
    <row r="46" spans="1:9" ht="29.25" x14ac:dyDescent="0.25">
      <c r="A46" s="286">
        <v>8.4</v>
      </c>
      <c r="B46" s="181" t="s">
        <v>400</v>
      </c>
      <c r="C46" s="286" t="s">
        <v>115</v>
      </c>
      <c r="D46" s="177">
        <v>3.44</v>
      </c>
      <c r="E46" s="178">
        <v>761635</v>
      </c>
      <c r="F46" s="178">
        <f>ROUND(D46*E46,0)</f>
        <v>2620024</v>
      </c>
      <c r="I46" s="80"/>
    </row>
    <row r="47" spans="1:9" ht="57" x14ac:dyDescent="0.25">
      <c r="A47" s="286">
        <v>8.5</v>
      </c>
      <c r="B47" s="9" t="s">
        <v>514</v>
      </c>
      <c r="C47" s="286" t="s">
        <v>115</v>
      </c>
      <c r="D47" s="177">
        <v>2</v>
      </c>
      <c r="E47" s="178">
        <v>914501</v>
      </c>
      <c r="F47" s="178">
        <f>ROUND(D47*E47,0)</f>
        <v>1829002</v>
      </c>
      <c r="I47" s="80"/>
    </row>
    <row r="48" spans="1:9" x14ac:dyDescent="0.25">
      <c r="A48" s="219"/>
      <c r="B48" s="18" t="s">
        <v>56</v>
      </c>
      <c r="C48" s="54"/>
      <c r="D48" s="130"/>
      <c r="E48" s="28"/>
      <c r="F48" s="79">
        <f>SUM(F9:F47)</f>
        <v>86839471</v>
      </c>
    </row>
    <row r="49" spans="1:9" x14ac:dyDescent="0.25">
      <c r="A49" s="19"/>
      <c r="B49" s="19" t="s">
        <v>60</v>
      </c>
      <c r="C49" s="19"/>
      <c r="D49" s="19"/>
      <c r="E49" s="19"/>
      <c r="F49" s="29">
        <f>ROUND(F48/1.3495,0)</f>
        <v>64349367</v>
      </c>
    </row>
    <row r="50" spans="1:9" x14ac:dyDescent="0.25">
      <c r="A50" s="19"/>
      <c r="B50" s="19" t="s">
        <v>61</v>
      </c>
      <c r="C50" s="131">
        <v>0.24</v>
      </c>
      <c r="D50" s="19"/>
      <c r="E50" s="19"/>
      <c r="F50" s="29">
        <f>ROUND(F49*C50,0)</f>
        <v>15443848</v>
      </c>
    </row>
    <row r="51" spans="1:9" x14ac:dyDescent="0.25">
      <c r="A51" s="19"/>
      <c r="B51" s="19" t="s">
        <v>57</v>
      </c>
      <c r="C51" s="131">
        <v>0.05</v>
      </c>
      <c r="D51" s="19"/>
      <c r="E51" s="19"/>
      <c r="F51" s="29">
        <f>ROUND(F49*C51,0)</f>
        <v>3217468</v>
      </c>
    </row>
    <row r="52" spans="1:9" x14ac:dyDescent="0.25">
      <c r="A52" s="19"/>
      <c r="B52" s="19" t="s">
        <v>62</v>
      </c>
      <c r="C52" s="131">
        <v>0.05</v>
      </c>
      <c r="D52" s="19"/>
      <c r="E52" s="19"/>
      <c r="F52" s="29">
        <f>ROUND(F49*C52,0)</f>
        <v>3217468</v>
      </c>
    </row>
    <row r="53" spans="1:9" x14ac:dyDescent="0.25">
      <c r="A53" s="19"/>
      <c r="B53" s="132" t="s">
        <v>63</v>
      </c>
      <c r="C53" s="133">
        <v>0.19</v>
      </c>
      <c r="D53" s="120"/>
      <c r="E53" s="120"/>
      <c r="F53" s="35">
        <f>ROUND(F52*19%,0)</f>
        <v>611319</v>
      </c>
    </row>
    <row r="54" spans="1:9" x14ac:dyDescent="0.25">
      <c r="A54" s="19"/>
      <c r="B54" s="18" t="s">
        <v>56</v>
      </c>
      <c r="C54" s="19"/>
      <c r="D54" s="19"/>
      <c r="E54" s="19"/>
      <c r="F54" s="30">
        <f>SUM(F49:F53)</f>
        <v>86839470</v>
      </c>
    </row>
    <row r="56" spans="1:9" ht="33" customHeight="1" x14ac:dyDescent="0.25">
      <c r="A56" s="505" t="s">
        <v>983</v>
      </c>
      <c r="B56" s="506"/>
      <c r="C56" s="506"/>
      <c r="D56" s="506"/>
      <c r="E56" s="506"/>
      <c r="F56" s="507"/>
    </row>
    <row r="57" spans="1:9" x14ac:dyDescent="0.25">
      <c r="A57" s="54" t="s">
        <v>421</v>
      </c>
      <c r="B57" s="54" t="s">
        <v>422</v>
      </c>
      <c r="C57" s="54" t="s">
        <v>423</v>
      </c>
      <c r="D57" s="54" t="s">
        <v>13</v>
      </c>
      <c r="E57" s="54" t="s">
        <v>424</v>
      </c>
      <c r="F57" s="54" t="s">
        <v>425</v>
      </c>
    </row>
    <row r="58" spans="1:9" x14ac:dyDescent="0.25">
      <c r="A58" s="54"/>
      <c r="B58" s="54"/>
      <c r="C58" s="54"/>
      <c r="D58" s="54"/>
      <c r="E58" s="54"/>
      <c r="F58" s="54"/>
    </row>
    <row r="59" spans="1:9" x14ac:dyDescent="0.25">
      <c r="A59" s="286" t="s">
        <v>338</v>
      </c>
      <c r="B59" s="11" t="s">
        <v>16</v>
      </c>
      <c r="C59" s="286"/>
      <c r="D59" s="177"/>
      <c r="E59" s="178"/>
      <c r="F59" s="178"/>
    </row>
    <row r="60" spans="1:9" ht="43.5" x14ac:dyDescent="0.25">
      <c r="A60" s="286" t="s">
        <v>339</v>
      </c>
      <c r="B60" s="13" t="s">
        <v>340</v>
      </c>
      <c r="C60" s="286" t="s">
        <v>341</v>
      </c>
      <c r="D60" s="177">
        <v>340</v>
      </c>
      <c r="E60" s="178">
        <v>7564</v>
      </c>
      <c r="F60" s="178">
        <f>ROUND(D60*E60,0)</f>
        <v>2571760</v>
      </c>
      <c r="I60" s="80"/>
    </row>
    <row r="61" spans="1:9" ht="43.5" x14ac:dyDescent="0.25">
      <c r="A61" s="286" t="s">
        <v>342</v>
      </c>
      <c r="B61" s="13" t="s">
        <v>343</v>
      </c>
      <c r="C61" s="286" t="s">
        <v>341</v>
      </c>
      <c r="D61" s="177">
        <v>209</v>
      </c>
      <c r="E61" s="178">
        <v>12418</v>
      </c>
      <c r="F61" s="178">
        <f>ROUND(D61*E61,0)</f>
        <v>2595362</v>
      </c>
      <c r="I61" s="80"/>
    </row>
    <row r="62" spans="1:9" ht="43.5" x14ac:dyDescent="0.25">
      <c r="A62" s="286" t="s">
        <v>344</v>
      </c>
      <c r="B62" s="17" t="s">
        <v>579</v>
      </c>
      <c r="C62" s="286" t="s">
        <v>23</v>
      </c>
      <c r="D62" s="177">
        <v>4</v>
      </c>
      <c r="E62" s="178">
        <v>243668</v>
      </c>
      <c r="F62" s="178">
        <f>ROUND(D62*E62,0)</f>
        <v>974672</v>
      </c>
      <c r="I62" s="80"/>
    </row>
    <row r="63" spans="1:9" x14ac:dyDescent="0.25">
      <c r="A63" s="286">
        <v>2</v>
      </c>
      <c r="B63" s="11" t="s">
        <v>347</v>
      </c>
      <c r="C63" s="286"/>
      <c r="D63" s="177"/>
      <c r="E63" s="178">
        <v>0</v>
      </c>
      <c r="F63" s="178"/>
      <c r="I63" s="80"/>
    </row>
    <row r="64" spans="1:9" x14ac:dyDescent="0.25">
      <c r="A64" s="286" t="s">
        <v>348</v>
      </c>
      <c r="B64" s="19" t="s">
        <v>349</v>
      </c>
      <c r="C64" s="286" t="s">
        <v>115</v>
      </c>
      <c r="D64" s="177">
        <v>42.9</v>
      </c>
      <c r="E64" s="178">
        <v>141463</v>
      </c>
      <c r="F64" s="178">
        <f>ROUND(D64*E64,0)</f>
        <v>6068763</v>
      </c>
      <c r="I64" s="80"/>
    </row>
    <row r="65" spans="1:9" ht="29.25" x14ac:dyDescent="0.25">
      <c r="A65" s="286" t="s">
        <v>461</v>
      </c>
      <c r="B65" s="13" t="s">
        <v>569</v>
      </c>
      <c r="C65" s="286" t="s">
        <v>115</v>
      </c>
      <c r="D65" s="177">
        <v>1.5</v>
      </c>
      <c r="E65" s="178">
        <v>114584</v>
      </c>
      <c r="F65" s="178">
        <f>ROUND(D65*E65,0)</f>
        <v>171876</v>
      </c>
      <c r="I65" s="80"/>
    </row>
    <row r="66" spans="1:9" ht="29.25" x14ac:dyDescent="0.25">
      <c r="A66" s="286" t="s">
        <v>351</v>
      </c>
      <c r="B66" s="13" t="s">
        <v>463</v>
      </c>
      <c r="C66" s="286" t="s">
        <v>115</v>
      </c>
      <c r="D66" s="177">
        <v>2.5499999999999998</v>
      </c>
      <c r="E66" s="178">
        <v>113522</v>
      </c>
      <c r="F66" s="178">
        <f>ROUND(D66*E66,0)</f>
        <v>289481</v>
      </c>
      <c r="I66" s="80"/>
    </row>
    <row r="67" spans="1:9" ht="29.25" x14ac:dyDescent="0.25">
      <c r="A67" s="286" t="s">
        <v>515</v>
      </c>
      <c r="B67" s="13" t="s">
        <v>464</v>
      </c>
      <c r="C67" s="286" t="s">
        <v>115</v>
      </c>
      <c r="D67" s="177">
        <v>1.25</v>
      </c>
      <c r="E67" s="178">
        <v>107656</v>
      </c>
      <c r="F67" s="178">
        <f>ROUND(D67*E67,0)</f>
        <v>134570</v>
      </c>
      <c r="I67" s="80"/>
    </row>
    <row r="68" spans="1:9" x14ac:dyDescent="0.25">
      <c r="A68" s="286">
        <v>3</v>
      </c>
      <c r="B68" s="179" t="s">
        <v>353</v>
      </c>
      <c r="C68" s="286"/>
      <c r="D68" s="177"/>
      <c r="E68" s="178" t="s">
        <v>1</v>
      </c>
      <c r="F68" s="178"/>
      <c r="I68" s="80"/>
    </row>
    <row r="69" spans="1:9" ht="29.25" x14ac:dyDescent="0.25">
      <c r="A69" s="286" t="s">
        <v>354</v>
      </c>
      <c r="B69" s="13" t="s">
        <v>355</v>
      </c>
      <c r="C69" s="286" t="s">
        <v>115</v>
      </c>
      <c r="D69" s="177">
        <v>269.29000000000002</v>
      </c>
      <c r="E69" s="178">
        <v>36641</v>
      </c>
      <c r="F69" s="178">
        <f>ROUND(D69*E69,0)</f>
        <v>9867055</v>
      </c>
      <c r="I69" s="80"/>
    </row>
    <row r="70" spans="1:9" x14ac:dyDescent="0.25">
      <c r="A70" s="286">
        <v>4</v>
      </c>
      <c r="B70" s="179" t="s">
        <v>356</v>
      </c>
      <c r="C70" s="286"/>
      <c r="D70" s="177"/>
      <c r="E70" s="178" t="s">
        <v>1</v>
      </c>
      <c r="F70" s="178"/>
      <c r="I70" s="80"/>
    </row>
    <row r="71" spans="1:9" ht="29.25" x14ac:dyDescent="0.25">
      <c r="A71" s="286" t="s">
        <v>357</v>
      </c>
      <c r="B71" s="13" t="s">
        <v>358</v>
      </c>
      <c r="C71" s="286" t="s">
        <v>115</v>
      </c>
      <c r="D71" s="177">
        <v>297.8</v>
      </c>
      <c r="E71" s="178">
        <v>30196</v>
      </c>
      <c r="F71" s="178">
        <f>ROUND(D71*E71,0)</f>
        <v>8992369</v>
      </c>
      <c r="I71" s="80"/>
    </row>
    <row r="72" spans="1:9" ht="29.25" x14ac:dyDescent="0.25">
      <c r="A72" s="286">
        <v>4.2</v>
      </c>
      <c r="B72" s="13" t="s">
        <v>359</v>
      </c>
      <c r="C72" s="286" t="s">
        <v>115</v>
      </c>
      <c r="D72" s="177">
        <v>69.45</v>
      </c>
      <c r="E72" s="178">
        <v>35903</v>
      </c>
      <c r="F72" s="178">
        <f>ROUND(D72*E72,0)</f>
        <v>2493463</v>
      </c>
      <c r="I72" s="80"/>
    </row>
    <row r="73" spans="1:9" x14ac:dyDescent="0.25">
      <c r="A73" s="286">
        <v>4.3</v>
      </c>
      <c r="B73" s="13" t="s">
        <v>407</v>
      </c>
      <c r="C73" s="286" t="s">
        <v>18</v>
      </c>
      <c r="D73" s="177">
        <v>110</v>
      </c>
      <c r="E73" s="178">
        <v>36641</v>
      </c>
      <c r="F73" s="178">
        <f>ROUND(D73*E73,0)</f>
        <v>4030510</v>
      </c>
      <c r="I73" s="80"/>
    </row>
    <row r="74" spans="1:9" x14ac:dyDescent="0.25">
      <c r="A74" s="286">
        <v>5</v>
      </c>
      <c r="B74" s="179" t="s">
        <v>361</v>
      </c>
      <c r="C74" s="286"/>
      <c r="D74" s="177"/>
      <c r="E74" s="178" t="s">
        <v>1</v>
      </c>
      <c r="F74" s="178"/>
      <c r="I74" s="80"/>
    </row>
    <row r="75" spans="1:9" ht="29.25" x14ac:dyDescent="0.25">
      <c r="A75" s="286" t="s">
        <v>362</v>
      </c>
      <c r="B75" s="13" t="s">
        <v>363</v>
      </c>
      <c r="C75" s="286" t="s">
        <v>115</v>
      </c>
      <c r="D75" s="177">
        <v>215.62</v>
      </c>
      <c r="E75" s="178">
        <v>24785</v>
      </c>
      <c r="F75" s="178">
        <f>ROUND(D75*E75,0)</f>
        <v>5344142</v>
      </c>
      <c r="I75" s="80"/>
    </row>
    <row r="76" spans="1:9" ht="29.25" x14ac:dyDescent="0.25">
      <c r="A76" s="286" t="s">
        <v>364</v>
      </c>
      <c r="B76" s="13" t="s">
        <v>365</v>
      </c>
      <c r="C76" s="286" t="s">
        <v>115</v>
      </c>
      <c r="D76" s="177">
        <v>69.45</v>
      </c>
      <c r="E76" s="178">
        <v>106445</v>
      </c>
      <c r="F76" s="178">
        <f>ROUND(D76*E76,0)</f>
        <v>7392605</v>
      </c>
      <c r="I76" s="80"/>
    </row>
    <row r="77" spans="1:9" ht="30" x14ac:dyDescent="0.25">
      <c r="A77" s="286">
        <v>6</v>
      </c>
      <c r="B77" s="179" t="s">
        <v>366</v>
      </c>
      <c r="C77" s="286"/>
      <c r="D77" s="177"/>
      <c r="E77" s="178" t="s">
        <v>1</v>
      </c>
      <c r="F77" s="178"/>
      <c r="I77" s="80"/>
    </row>
    <row r="78" spans="1:9" ht="43.5" x14ac:dyDescent="0.25">
      <c r="A78" s="286" t="s">
        <v>367</v>
      </c>
      <c r="B78" s="13" t="s">
        <v>465</v>
      </c>
      <c r="C78" s="286" t="s">
        <v>115</v>
      </c>
      <c r="D78" s="177">
        <v>3.03</v>
      </c>
      <c r="E78" s="178">
        <v>99425</v>
      </c>
      <c r="F78" s="178">
        <f>ROUND(D78*E78,0)</f>
        <v>301258</v>
      </c>
      <c r="I78" s="80"/>
    </row>
    <row r="79" spans="1:9" ht="43.5" x14ac:dyDescent="0.25">
      <c r="A79" s="286">
        <v>6.2</v>
      </c>
      <c r="B79" s="13" t="s">
        <v>570</v>
      </c>
      <c r="C79" s="286" t="s">
        <v>115</v>
      </c>
      <c r="D79" s="177">
        <v>46.3</v>
      </c>
      <c r="E79" s="178">
        <v>190032</v>
      </c>
      <c r="F79" s="178">
        <f>ROUND(D79*E79,0)</f>
        <v>8798482</v>
      </c>
      <c r="I79" s="80"/>
    </row>
    <row r="80" spans="1:9" ht="29.25" x14ac:dyDescent="0.25">
      <c r="A80" s="286" t="s">
        <v>467</v>
      </c>
      <c r="B80" s="13" t="s">
        <v>468</v>
      </c>
      <c r="C80" s="286" t="s">
        <v>115</v>
      </c>
      <c r="D80" s="177">
        <v>82.19</v>
      </c>
      <c r="E80" s="178">
        <v>100848</v>
      </c>
      <c r="F80" s="178">
        <f>ROUND(D80*E80,0)</f>
        <v>8288697</v>
      </c>
      <c r="I80" s="80"/>
    </row>
    <row r="81" spans="1:9" x14ac:dyDescent="0.25">
      <c r="A81" s="286">
        <v>7</v>
      </c>
      <c r="B81" s="179" t="s">
        <v>371</v>
      </c>
      <c r="C81" s="286"/>
      <c r="D81" s="177"/>
      <c r="E81" s="178" t="s">
        <v>1</v>
      </c>
      <c r="F81" s="178"/>
      <c r="I81" s="80"/>
    </row>
    <row r="82" spans="1:9" ht="43.5" x14ac:dyDescent="0.25">
      <c r="A82" s="286" t="s">
        <v>372</v>
      </c>
      <c r="B82" s="13" t="s">
        <v>571</v>
      </c>
      <c r="C82" s="286" t="s">
        <v>18</v>
      </c>
      <c r="D82" s="177">
        <v>230</v>
      </c>
      <c r="E82" s="178">
        <v>13960</v>
      </c>
      <c r="F82" s="178">
        <f>ROUND(D82*E82,0)</f>
        <v>3210800</v>
      </c>
      <c r="I82" s="80"/>
    </row>
    <row r="83" spans="1:9" ht="43.5" x14ac:dyDescent="0.25">
      <c r="A83" s="286">
        <v>7.2</v>
      </c>
      <c r="B83" s="13" t="s">
        <v>580</v>
      </c>
      <c r="C83" s="286" t="s">
        <v>18</v>
      </c>
      <c r="D83" s="177">
        <v>90</v>
      </c>
      <c r="E83" s="178">
        <v>36588</v>
      </c>
      <c r="F83" s="178">
        <f>ROUND(D83*E83,0)</f>
        <v>3292920</v>
      </c>
      <c r="I83" s="80"/>
    </row>
    <row r="84" spans="1:9" ht="43.5" x14ac:dyDescent="0.25">
      <c r="A84" s="286">
        <v>7.3</v>
      </c>
      <c r="B84" s="13" t="s">
        <v>572</v>
      </c>
      <c r="C84" s="286" t="s">
        <v>18</v>
      </c>
      <c r="D84" s="177">
        <v>24</v>
      </c>
      <c r="E84" s="178">
        <v>22867</v>
      </c>
      <c r="F84" s="178">
        <f>+D84*E84</f>
        <v>548808</v>
      </c>
      <c r="I84" s="80"/>
    </row>
    <row r="85" spans="1:9" x14ac:dyDescent="0.25">
      <c r="A85" s="286" t="s">
        <v>376</v>
      </c>
      <c r="B85" s="13" t="s">
        <v>573</v>
      </c>
      <c r="C85" s="286" t="s">
        <v>125</v>
      </c>
      <c r="D85" s="177">
        <v>2</v>
      </c>
      <c r="E85" s="178">
        <v>103880</v>
      </c>
      <c r="F85" s="178">
        <f t="shared" ref="F85:F93" si="1">ROUND(D85*E85,0)</f>
        <v>207760</v>
      </c>
      <c r="I85" s="80"/>
    </row>
    <row r="86" spans="1:9" x14ac:dyDescent="0.25">
      <c r="A86" s="286" t="s">
        <v>378</v>
      </c>
      <c r="B86" s="13" t="s">
        <v>574</v>
      </c>
      <c r="C86" s="286" t="s">
        <v>125</v>
      </c>
      <c r="D86" s="177">
        <v>10</v>
      </c>
      <c r="E86" s="178">
        <v>69353</v>
      </c>
      <c r="F86" s="178">
        <f t="shared" si="1"/>
        <v>693530</v>
      </c>
      <c r="I86" s="80"/>
    </row>
    <row r="87" spans="1:9" ht="29.25" x14ac:dyDescent="0.25">
      <c r="A87" s="286" t="s">
        <v>380</v>
      </c>
      <c r="B87" s="13" t="s">
        <v>381</v>
      </c>
      <c r="C87" s="286" t="s">
        <v>18</v>
      </c>
      <c r="D87" s="177">
        <v>2.2999999999999998</v>
      </c>
      <c r="E87" s="178">
        <v>721405</v>
      </c>
      <c r="F87" s="178">
        <f t="shared" si="1"/>
        <v>1659232</v>
      </c>
      <c r="I87" s="80"/>
    </row>
    <row r="88" spans="1:9" ht="29.25" x14ac:dyDescent="0.25">
      <c r="A88" s="286" t="s">
        <v>382</v>
      </c>
      <c r="B88" s="13" t="s">
        <v>383</v>
      </c>
      <c r="C88" s="286" t="s">
        <v>125</v>
      </c>
      <c r="D88" s="177">
        <v>3</v>
      </c>
      <c r="E88" s="178">
        <v>605385</v>
      </c>
      <c r="F88" s="178">
        <f t="shared" si="1"/>
        <v>1816155</v>
      </c>
      <c r="I88" s="80"/>
    </row>
    <row r="89" spans="1:9" ht="29.25" x14ac:dyDescent="0.25">
      <c r="A89" s="286" t="s">
        <v>384</v>
      </c>
      <c r="B89" s="13" t="s">
        <v>385</v>
      </c>
      <c r="C89" s="286" t="s">
        <v>125</v>
      </c>
      <c r="D89" s="177">
        <v>1</v>
      </c>
      <c r="E89" s="178">
        <v>574732</v>
      </c>
      <c r="F89" s="178">
        <f t="shared" si="1"/>
        <v>574732</v>
      </c>
      <c r="I89" s="80"/>
    </row>
    <row r="90" spans="1:9" ht="29.25" x14ac:dyDescent="0.25">
      <c r="A90" s="286" t="s">
        <v>386</v>
      </c>
      <c r="B90" s="13" t="s">
        <v>387</v>
      </c>
      <c r="C90" s="286" t="s">
        <v>23</v>
      </c>
      <c r="D90" s="177">
        <v>25</v>
      </c>
      <c r="E90" s="178">
        <v>419242</v>
      </c>
      <c r="F90" s="178">
        <f t="shared" si="1"/>
        <v>10481050</v>
      </c>
      <c r="I90" s="80"/>
    </row>
    <row r="91" spans="1:9" ht="86.25" x14ac:dyDescent="0.25">
      <c r="A91" s="286" t="s">
        <v>388</v>
      </c>
      <c r="B91" s="17" t="s">
        <v>575</v>
      </c>
      <c r="C91" s="286" t="s">
        <v>125</v>
      </c>
      <c r="D91" s="177">
        <v>2</v>
      </c>
      <c r="E91" s="178">
        <v>1875342</v>
      </c>
      <c r="F91" s="178">
        <f t="shared" si="1"/>
        <v>3750684</v>
      </c>
      <c r="I91" s="80"/>
    </row>
    <row r="92" spans="1:9" ht="57.75" x14ac:dyDescent="0.25">
      <c r="A92" s="286" t="s">
        <v>390</v>
      </c>
      <c r="B92" s="17" t="s">
        <v>581</v>
      </c>
      <c r="C92" s="286" t="s">
        <v>125</v>
      </c>
      <c r="D92" s="177">
        <v>1</v>
      </c>
      <c r="E92" s="178">
        <v>779473</v>
      </c>
      <c r="F92" s="178">
        <f t="shared" si="1"/>
        <v>779473</v>
      </c>
      <c r="I92" s="80"/>
    </row>
    <row r="93" spans="1:9" x14ac:dyDescent="0.25">
      <c r="A93" s="286" t="s">
        <v>392</v>
      </c>
      <c r="B93" s="13" t="s">
        <v>582</v>
      </c>
      <c r="C93" s="286" t="s">
        <v>125</v>
      </c>
      <c r="D93" s="177">
        <v>25</v>
      </c>
      <c r="E93" s="178">
        <v>66314</v>
      </c>
      <c r="F93" s="178">
        <f t="shared" si="1"/>
        <v>1657850</v>
      </c>
      <c r="I93" s="80"/>
    </row>
    <row r="94" spans="1:9" x14ac:dyDescent="0.25">
      <c r="A94" s="286">
        <v>8</v>
      </c>
      <c r="B94" s="179" t="s">
        <v>394</v>
      </c>
      <c r="C94" s="286"/>
      <c r="D94" s="177"/>
      <c r="E94" s="178" t="s">
        <v>1</v>
      </c>
      <c r="F94" s="178"/>
      <c r="I94" s="80"/>
    </row>
    <row r="95" spans="1:9" ht="29.25" x14ac:dyDescent="0.25">
      <c r="A95" s="286" t="s">
        <v>395</v>
      </c>
      <c r="B95" s="13" t="s">
        <v>396</v>
      </c>
      <c r="C95" s="286" t="s">
        <v>18</v>
      </c>
      <c r="D95" s="177">
        <v>750</v>
      </c>
      <c r="E95" s="178">
        <v>14248</v>
      </c>
      <c r="F95" s="178">
        <f>ROUND(D95*E95,0)</f>
        <v>10686000</v>
      </c>
      <c r="I95" s="80"/>
    </row>
    <row r="96" spans="1:9" ht="71.25" x14ac:dyDescent="0.25">
      <c r="A96" s="286" t="s">
        <v>397</v>
      </c>
      <c r="B96" s="9" t="s">
        <v>576</v>
      </c>
      <c r="C96" s="286" t="s">
        <v>115</v>
      </c>
      <c r="D96" s="177">
        <v>38.61</v>
      </c>
      <c r="E96" s="178">
        <v>914507</v>
      </c>
      <c r="F96" s="178">
        <f>ROUND(D96*E96,0)</f>
        <v>35309115</v>
      </c>
      <c r="I96" s="80"/>
    </row>
    <row r="97" spans="1:12" ht="42.75" x14ac:dyDescent="0.25">
      <c r="A97" s="286">
        <v>8.3000000000000007</v>
      </c>
      <c r="B97" s="9" t="s">
        <v>577</v>
      </c>
      <c r="C97" s="286" t="s">
        <v>115</v>
      </c>
      <c r="D97" s="177">
        <v>2.5499999999999998</v>
      </c>
      <c r="E97" s="178">
        <v>1293400</v>
      </c>
      <c r="F97" s="178">
        <f>ROUND(D97*E97,0)</f>
        <v>3298170</v>
      </c>
      <c r="I97" s="80"/>
    </row>
    <row r="98" spans="1:12" ht="29.25" x14ac:dyDescent="0.25">
      <c r="A98" s="286">
        <v>8.4</v>
      </c>
      <c r="B98" s="181" t="s">
        <v>400</v>
      </c>
      <c r="C98" s="286" t="s">
        <v>115</v>
      </c>
      <c r="D98" s="177">
        <v>3.03</v>
      </c>
      <c r="E98" s="178">
        <v>761635</v>
      </c>
      <c r="F98" s="178">
        <f>ROUND(D98*E98,0)</f>
        <v>2307754</v>
      </c>
      <c r="I98" s="80"/>
    </row>
    <row r="99" spans="1:12" x14ac:dyDescent="0.25">
      <c r="A99" s="286"/>
      <c r="B99" s="13"/>
      <c r="C99" s="286"/>
      <c r="D99" s="177"/>
      <c r="E99" s="178"/>
      <c r="F99" s="178"/>
      <c r="I99" s="80"/>
    </row>
    <row r="100" spans="1:12" x14ac:dyDescent="0.25">
      <c r="A100" s="219"/>
      <c r="B100" s="18" t="s">
        <v>56</v>
      </c>
      <c r="C100" s="54"/>
      <c r="D100" s="130"/>
      <c r="E100" s="28"/>
      <c r="F100" s="79">
        <f>SUM(F60:F99)</f>
        <v>148589098</v>
      </c>
    </row>
    <row r="101" spans="1:12" x14ac:dyDescent="0.25">
      <c r="A101" s="19"/>
      <c r="B101" s="19" t="s">
        <v>60</v>
      </c>
      <c r="C101" s="19"/>
      <c r="D101" s="19"/>
      <c r="E101" s="19"/>
      <c r="F101" s="29">
        <f>ROUND(F100/1.3495,0)</f>
        <v>110106779</v>
      </c>
    </row>
    <row r="102" spans="1:12" x14ac:dyDescent="0.25">
      <c r="A102" s="19"/>
      <c r="B102" s="19" t="s">
        <v>61</v>
      </c>
      <c r="C102" s="131">
        <v>0.24</v>
      </c>
      <c r="D102" s="19"/>
      <c r="E102" s="19"/>
      <c r="F102" s="29">
        <f>ROUND(F101*C102,0)</f>
        <v>26425627</v>
      </c>
    </row>
    <row r="103" spans="1:12" x14ac:dyDescent="0.25">
      <c r="A103" s="19"/>
      <c r="B103" s="19" t="s">
        <v>57</v>
      </c>
      <c r="C103" s="131">
        <v>0.05</v>
      </c>
      <c r="D103" s="19"/>
      <c r="E103" s="19"/>
      <c r="F103" s="29">
        <f>ROUND(F101*C103,0)</f>
        <v>5505339</v>
      </c>
    </row>
    <row r="104" spans="1:12" x14ac:dyDescent="0.25">
      <c r="A104" s="19"/>
      <c r="B104" s="19" t="s">
        <v>62</v>
      </c>
      <c r="C104" s="131">
        <v>0.05</v>
      </c>
      <c r="D104" s="19"/>
      <c r="E104" s="19"/>
      <c r="F104" s="29">
        <f>ROUND(F101*C104,0)</f>
        <v>5505339</v>
      </c>
    </row>
    <row r="105" spans="1:12" x14ac:dyDescent="0.25">
      <c r="A105" s="19"/>
      <c r="B105" s="132" t="s">
        <v>63</v>
      </c>
      <c r="C105" s="133">
        <v>0.19</v>
      </c>
      <c r="D105" s="120"/>
      <c r="E105" s="120"/>
      <c r="F105" s="35">
        <f>ROUND(F104*19%,0)</f>
        <v>1046014</v>
      </c>
    </row>
    <row r="106" spans="1:12" x14ac:dyDescent="0.25">
      <c r="A106" s="19"/>
      <c r="B106" s="18" t="s">
        <v>56</v>
      </c>
      <c r="C106" s="19"/>
      <c r="D106" s="19"/>
      <c r="E106" s="19"/>
      <c r="F106" s="30">
        <f>SUM(F101:F105)</f>
        <v>148589098</v>
      </c>
    </row>
    <row r="108" spans="1:12" ht="51" customHeight="1" x14ac:dyDescent="0.25">
      <c r="A108" s="490" t="s">
        <v>984</v>
      </c>
      <c r="B108" s="490"/>
      <c r="C108" s="490"/>
      <c r="D108" s="490"/>
      <c r="E108" s="490"/>
      <c r="F108" s="490"/>
    </row>
    <row r="109" spans="1:12" x14ac:dyDescent="0.25">
      <c r="A109" s="185" t="s">
        <v>421</v>
      </c>
      <c r="B109" s="185" t="s">
        <v>422</v>
      </c>
      <c r="C109" s="185" t="s">
        <v>423</v>
      </c>
      <c r="D109" s="185" t="s">
        <v>13</v>
      </c>
      <c r="E109" s="185" t="s">
        <v>424</v>
      </c>
      <c r="F109" s="185" t="s">
        <v>425</v>
      </c>
    </row>
    <row r="110" spans="1:12" x14ac:dyDescent="0.25">
      <c r="A110" s="286" t="s">
        <v>338</v>
      </c>
      <c r="B110" s="11" t="s">
        <v>16</v>
      </c>
      <c r="C110" s="286"/>
      <c r="D110" s="177"/>
      <c r="E110" s="178"/>
      <c r="F110" s="178"/>
    </row>
    <row r="111" spans="1:12" ht="43.5" x14ac:dyDescent="0.25">
      <c r="A111" s="286" t="s">
        <v>339</v>
      </c>
      <c r="B111" s="13" t="s">
        <v>340</v>
      </c>
      <c r="C111" s="286" t="s">
        <v>341</v>
      </c>
      <c r="D111" s="177">
        <v>63</v>
      </c>
      <c r="E111" s="178">
        <v>7461</v>
      </c>
      <c r="F111" s="178">
        <f>ROUND(D111*E111,0)</f>
        <v>470043</v>
      </c>
      <c r="H111" s="80"/>
      <c r="I111" s="215"/>
      <c r="J111" s="91"/>
      <c r="K111" s="78"/>
      <c r="L111" s="91"/>
    </row>
    <row r="112" spans="1:12" ht="43.5" x14ac:dyDescent="0.25">
      <c r="A112" s="286" t="s">
        <v>342</v>
      </c>
      <c r="B112" s="13" t="s">
        <v>343</v>
      </c>
      <c r="C112" s="286" t="s">
        <v>341</v>
      </c>
      <c r="D112" s="177">
        <v>142</v>
      </c>
      <c r="E112" s="178">
        <v>12248</v>
      </c>
      <c r="F112" s="178">
        <f>ROUND(D112*E112,0)</f>
        <v>1739216</v>
      </c>
      <c r="H112" s="80"/>
      <c r="I112" s="215"/>
      <c r="J112" s="91"/>
      <c r="K112" s="78"/>
      <c r="L112" s="91"/>
    </row>
    <row r="113" spans="1:12" ht="43.5" x14ac:dyDescent="0.25">
      <c r="A113" s="286" t="s">
        <v>405</v>
      </c>
      <c r="B113" s="17" t="s">
        <v>579</v>
      </c>
      <c r="C113" s="286" t="s">
        <v>23</v>
      </c>
      <c r="D113" s="177">
        <v>3</v>
      </c>
      <c r="E113" s="178">
        <v>240351</v>
      </c>
      <c r="F113" s="178">
        <f>ROUND(D113*E113,0)</f>
        <v>721053</v>
      </c>
      <c r="H113" s="80"/>
      <c r="I113" s="215"/>
      <c r="J113" s="91"/>
      <c r="K113" s="78"/>
      <c r="L113" s="91"/>
    </row>
    <row r="114" spans="1:12" x14ac:dyDescent="0.25">
      <c r="A114" s="286">
        <v>2</v>
      </c>
      <c r="B114" s="11" t="s">
        <v>347</v>
      </c>
      <c r="C114" s="286"/>
      <c r="D114" s="177"/>
      <c r="E114" s="178">
        <v>0</v>
      </c>
      <c r="F114" s="178"/>
      <c r="H114" s="80"/>
      <c r="I114" s="215"/>
      <c r="J114" s="91"/>
      <c r="K114" s="78"/>
      <c r="L114" s="91"/>
    </row>
    <row r="115" spans="1:12" x14ac:dyDescent="0.25">
      <c r="A115" s="286" t="s">
        <v>348</v>
      </c>
      <c r="B115" s="19" t="s">
        <v>349</v>
      </c>
      <c r="C115" s="286" t="s">
        <v>115</v>
      </c>
      <c r="D115" s="177">
        <v>26.88</v>
      </c>
      <c r="E115" s="178">
        <v>139537</v>
      </c>
      <c r="F115" s="178">
        <f>ROUND(D115*E115,0)</f>
        <v>3750755</v>
      </c>
      <c r="H115" s="80"/>
      <c r="I115" s="215"/>
      <c r="J115" s="91"/>
      <c r="K115" s="78"/>
      <c r="L115" s="91"/>
    </row>
    <row r="116" spans="1:12" ht="29.25" x14ac:dyDescent="0.25">
      <c r="A116" s="286">
        <v>2.2000000000000002</v>
      </c>
      <c r="B116" s="13" t="s">
        <v>569</v>
      </c>
      <c r="C116" s="286" t="s">
        <v>115</v>
      </c>
      <c r="D116" s="177">
        <v>1.2</v>
      </c>
      <c r="E116" s="178">
        <v>113024</v>
      </c>
      <c r="F116" s="178">
        <f>ROUND(D116*E116,0)</f>
        <v>135629</v>
      </c>
      <c r="H116" s="80"/>
      <c r="I116" s="215"/>
      <c r="J116" s="91"/>
      <c r="K116" s="78"/>
      <c r="L116" s="91"/>
    </row>
    <row r="117" spans="1:12" ht="29.25" x14ac:dyDescent="0.25">
      <c r="A117" s="286">
        <v>2.2999999999999998</v>
      </c>
      <c r="B117" s="13" t="s">
        <v>464</v>
      </c>
      <c r="C117" s="286" t="s">
        <v>115</v>
      </c>
      <c r="D117" s="177">
        <v>0.7</v>
      </c>
      <c r="E117" s="178">
        <v>106191</v>
      </c>
      <c r="F117" s="178">
        <f>ROUND(D117*E117,0)</f>
        <v>74334</v>
      </c>
      <c r="H117" s="80"/>
      <c r="I117" s="215"/>
      <c r="J117" s="91"/>
      <c r="K117" s="78"/>
      <c r="L117" s="91"/>
    </row>
    <row r="118" spans="1:12" x14ac:dyDescent="0.25">
      <c r="A118" s="286">
        <v>3</v>
      </c>
      <c r="B118" s="179" t="s">
        <v>353</v>
      </c>
      <c r="C118" s="286"/>
      <c r="D118" s="177"/>
      <c r="E118" s="178" t="s">
        <v>1</v>
      </c>
      <c r="F118" s="178"/>
      <c r="H118" s="80"/>
      <c r="I118" s="215"/>
      <c r="J118" s="91"/>
      <c r="K118" s="78"/>
      <c r="L118" s="91"/>
    </row>
    <row r="119" spans="1:12" ht="29.25" x14ac:dyDescent="0.25">
      <c r="A119" s="286" t="s">
        <v>354</v>
      </c>
      <c r="B119" s="13" t="s">
        <v>355</v>
      </c>
      <c r="C119" s="286" t="s">
        <v>115</v>
      </c>
      <c r="D119" s="177">
        <v>155.15</v>
      </c>
      <c r="E119" s="178">
        <v>36142</v>
      </c>
      <c r="F119" s="178">
        <f>ROUND(D119*E119,0)</f>
        <v>5607431</v>
      </c>
      <c r="H119" s="80"/>
      <c r="I119" s="215"/>
      <c r="J119" s="91"/>
      <c r="K119" s="78"/>
      <c r="L119" s="91"/>
    </row>
    <row r="120" spans="1:12" x14ac:dyDescent="0.25">
      <c r="A120" s="286">
        <v>4</v>
      </c>
      <c r="B120" s="179" t="s">
        <v>356</v>
      </c>
      <c r="C120" s="286"/>
      <c r="D120" s="177"/>
      <c r="E120" s="178" t="s">
        <v>1</v>
      </c>
      <c r="F120" s="178"/>
      <c r="H120" s="80"/>
      <c r="I120" s="215"/>
      <c r="J120" s="91"/>
      <c r="K120" s="78"/>
      <c r="L120" s="91"/>
    </row>
    <row r="121" spans="1:12" ht="29.25" x14ac:dyDescent="0.25">
      <c r="A121" s="286" t="s">
        <v>357</v>
      </c>
      <c r="B121" s="13" t="s">
        <v>358</v>
      </c>
      <c r="C121" s="286" t="s">
        <v>115</v>
      </c>
      <c r="D121" s="177">
        <v>119.43</v>
      </c>
      <c r="E121" s="178">
        <v>29785</v>
      </c>
      <c r="F121" s="178">
        <f>ROUND(D121*E121,0)</f>
        <v>3557223</v>
      </c>
      <c r="H121" s="80"/>
      <c r="I121" s="215"/>
      <c r="J121" s="91"/>
      <c r="K121" s="78"/>
      <c r="L121" s="91"/>
    </row>
    <row r="122" spans="1:12" ht="29.25" x14ac:dyDescent="0.25">
      <c r="A122" s="286">
        <v>4.2</v>
      </c>
      <c r="B122" s="13" t="s">
        <v>359</v>
      </c>
      <c r="C122" s="286" t="s">
        <v>115</v>
      </c>
      <c r="D122" s="177">
        <v>76.08</v>
      </c>
      <c r="E122" s="178">
        <v>35414</v>
      </c>
      <c r="F122" s="178">
        <f>ROUND(D122*E122,0)</f>
        <v>2694297</v>
      </c>
      <c r="H122" s="80"/>
      <c r="I122" s="215"/>
      <c r="J122" s="91"/>
      <c r="K122" s="78"/>
      <c r="L122" s="91"/>
    </row>
    <row r="123" spans="1:12" x14ac:dyDescent="0.25">
      <c r="A123" s="286">
        <v>4.3</v>
      </c>
      <c r="B123" s="13" t="s">
        <v>407</v>
      </c>
      <c r="C123" s="286" t="s">
        <v>18</v>
      </c>
      <c r="D123" s="177">
        <v>35</v>
      </c>
      <c r="E123" s="178">
        <v>36142</v>
      </c>
      <c r="F123" s="178">
        <f>ROUND(D123*E123,0)</f>
        <v>1264970</v>
      </c>
      <c r="H123" s="80"/>
      <c r="I123" s="215"/>
      <c r="J123" s="91"/>
      <c r="K123" s="78"/>
      <c r="L123" s="91"/>
    </row>
    <row r="124" spans="1:12" x14ac:dyDescent="0.25">
      <c r="A124" s="286">
        <v>5</v>
      </c>
      <c r="B124" s="179" t="s">
        <v>361</v>
      </c>
      <c r="C124" s="286"/>
      <c r="D124" s="177"/>
      <c r="E124" s="178" t="s">
        <v>1</v>
      </c>
      <c r="F124" s="178"/>
      <c r="H124" s="80"/>
      <c r="I124" s="215"/>
      <c r="J124" s="91"/>
      <c r="K124" s="78"/>
      <c r="L124" s="91"/>
    </row>
    <row r="125" spans="1:12" ht="29.25" x14ac:dyDescent="0.25">
      <c r="A125" s="286" t="s">
        <v>362</v>
      </c>
      <c r="B125" s="13" t="s">
        <v>363</v>
      </c>
      <c r="C125" s="286" t="s">
        <v>115</v>
      </c>
      <c r="D125" s="177">
        <v>54.2</v>
      </c>
      <c r="E125" s="178">
        <v>24447</v>
      </c>
      <c r="F125" s="178">
        <f>ROUND(D125*E125,0)</f>
        <v>1325027</v>
      </c>
      <c r="H125" s="80"/>
      <c r="I125" s="215"/>
      <c r="J125" s="91"/>
      <c r="K125" s="78"/>
      <c r="L125" s="91"/>
    </row>
    <row r="126" spans="1:12" ht="29.25" x14ac:dyDescent="0.25">
      <c r="A126" s="286" t="s">
        <v>364</v>
      </c>
      <c r="B126" s="13" t="s">
        <v>365</v>
      </c>
      <c r="C126" s="286" t="s">
        <v>115</v>
      </c>
      <c r="D126" s="177">
        <v>36.130000000000003</v>
      </c>
      <c r="E126" s="178">
        <v>104996</v>
      </c>
      <c r="F126" s="178">
        <f>ROUND(D126*E126,0)</f>
        <v>3793505</v>
      </c>
      <c r="H126" s="80"/>
      <c r="I126" s="215"/>
      <c r="J126" s="91"/>
      <c r="K126" s="78"/>
      <c r="L126" s="91"/>
    </row>
    <row r="127" spans="1:12" ht="30" x14ac:dyDescent="0.25">
      <c r="A127" s="286">
        <v>6</v>
      </c>
      <c r="B127" s="179" t="s">
        <v>366</v>
      </c>
      <c r="C127" s="286"/>
      <c r="D127" s="177"/>
      <c r="E127" s="178" t="s">
        <v>1</v>
      </c>
      <c r="F127" s="178"/>
      <c r="H127" s="80"/>
      <c r="I127" s="215"/>
      <c r="J127" s="91"/>
      <c r="K127" s="78"/>
      <c r="L127" s="91"/>
    </row>
    <row r="128" spans="1:12" ht="29.25" x14ac:dyDescent="0.25">
      <c r="A128" s="286" t="s">
        <v>367</v>
      </c>
      <c r="B128" s="13" t="s">
        <v>583</v>
      </c>
      <c r="C128" s="286" t="s">
        <v>115</v>
      </c>
      <c r="D128" s="177">
        <v>0.7</v>
      </c>
      <c r="E128" s="178">
        <v>98072</v>
      </c>
      <c r="F128" s="178">
        <f>ROUND(D128*E128,0)</f>
        <v>68650</v>
      </c>
      <c r="H128" s="80"/>
      <c r="I128" s="215"/>
      <c r="J128" s="91"/>
      <c r="K128" s="78"/>
      <c r="L128" s="91"/>
    </row>
    <row r="129" spans="1:12" ht="43.5" x14ac:dyDescent="0.25">
      <c r="A129" s="286">
        <v>6.2</v>
      </c>
      <c r="B129" s="13" t="s">
        <v>584</v>
      </c>
      <c r="C129" s="286" t="s">
        <v>115</v>
      </c>
      <c r="D129" s="177">
        <v>29.28</v>
      </c>
      <c r="E129" s="178">
        <v>187445</v>
      </c>
      <c r="F129" s="178">
        <f>ROUND(D129*E129,0)</f>
        <v>5488390</v>
      </c>
      <c r="H129" s="80"/>
      <c r="I129" s="215"/>
      <c r="J129" s="91"/>
      <c r="K129" s="78"/>
      <c r="L129" s="91"/>
    </row>
    <row r="130" spans="1:12" ht="29.25" x14ac:dyDescent="0.25">
      <c r="A130" s="286">
        <v>6.3</v>
      </c>
      <c r="B130" s="13" t="s">
        <v>468</v>
      </c>
      <c r="C130" s="286" t="s">
        <v>115</v>
      </c>
      <c r="D130" s="177">
        <v>38.18</v>
      </c>
      <c r="E130" s="178">
        <v>99475</v>
      </c>
      <c r="F130" s="178">
        <f>ROUND(D130*E130,0)</f>
        <v>3797956</v>
      </c>
      <c r="H130" s="80"/>
      <c r="I130" s="215"/>
      <c r="J130" s="91"/>
      <c r="K130" s="78"/>
      <c r="L130" s="91"/>
    </row>
    <row r="131" spans="1:12" x14ac:dyDescent="0.25">
      <c r="A131" s="286">
        <v>7</v>
      </c>
      <c r="B131" s="179" t="s">
        <v>371</v>
      </c>
      <c r="C131" s="286"/>
      <c r="D131" s="177"/>
      <c r="E131" s="178" t="s">
        <v>1</v>
      </c>
      <c r="F131" s="178"/>
      <c r="H131" s="80"/>
      <c r="I131" s="215"/>
      <c r="J131" s="91"/>
      <c r="K131" s="78"/>
      <c r="L131" s="91"/>
    </row>
    <row r="132" spans="1:12" ht="43.5" x14ac:dyDescent="0.25">
      <c r="A132" s="286" t="s">
        <v>372</v>
      </c>
      <c r="B132" s="13" t="s">
        <v>585</v>
      </c>
      <c r="C132" s="286" t="s">
        <v>18</v>
      </c>
      <c r="D132" s="177">
        <v>140</v>
      </c>
      <c r="E132" s="178">
        <v>13770</v>
      </c>
      <c r="F132" s="178">
        <f>ROUND(D132*E132,0)</f>
        <v>1927800</v>
      </c>
      <c r="H132" s="80"/>
      <c r="I132" s="215"/>
      <c r="J132" s="91"/>
      <c r="K132" s="78"/>
      <c r="L132" s="91"/>
    </row>
    <row r="133" spans="1:12" ht="43.5" x14ac:dyDescent="0.25">
      <c r="A133" s="286">
        <v>7.2</v>
      </c>
      <c r="B133" s="13" t="s">
        <v>586</v>
      </c>
      <c r="C133" s="286" t="s">
        <v>18</v>
      </c>
      <c r="D133" s="177">
        <v>78</v>
      </c>
      <c r="E133" s="178">
        <v>31579</v>
      </c>
      <c r="F133" s="178">
        <f>ROUND(D133*E133,0)</f>
        <v>2463162</v>
      </c>
      <c r="H133" s="80"/>
      <c r="I133" s="215"/>
      <c r="J133" s="91"/>
      <c r="K133" s="78"/>
      <c r="L133" s="91"/>
    </row>
    <row r="134" spans="1:12" x14ac:dyDescent="0.25">
      <c r="A134" s="286" t="s">
        <v>376</v>
      </c>
      <c r="B134" s="13" t="s">
        <v>573</v>
      </c>
      <c r="C134" s="286" t="s">
        <v>125</v>
      </c>
      <c r="D134" s="177">
        <v>2</v>
      </c>
      <c r="E134" s="178">
        <v>102466</v>
      </c>
      <c r="F134" s="178">
        <f t="shared" ref="F134:F141" si="2">ROUND(D134*E134,0)</f>
        <v>204932</v>
      </c>
      <c r="H134" s="80"/>
      <c r="I134" s="215"/>
      <c r="J134" s="91"/>
      <c r="K134" s="78"/>
      <c r="L134" s="91"/>
    </row>
    <row r="135" spans="1:12" x14ac:dyDescent="0.25">
      <c r="A135" s="286" t="s">
        <v>378</v>
      </c>
      <c r="B135" s="13" t="s">
        <v>587</v>
      </c>
      <c r="C135" s="286" t="s">
        <v>23</v>
      </c>
      <c r="D135" s="177">
        <v>7</v>
      </c>
      <c r="E135" s="178">
        <v>68409</v>
      </c>
      <c r="F135" s="178">
        <f t="shared" si="2"/>
        <v>478863</v>
      </c>
      <c r="H135" s="80"/>
      <c r="I135" s="215"/>
      <c r="J135" s="91"/>
      <c r="K135" s="78"/>
      <c r="L135" s="91"/>
    </row>
    <row r="136" spans="1:12" ht="29.25" x14ac:dyDescent="0.25">
      <c r="A136" s="286" t="s">
        <v>382</v>
      </c>
      <c r="B136" s="13" t="s">
        <v>383</v>
      </c>
      <c r="C136" s="286" t="s">
        <v>125</v>
      </c>
      <c r="D136" s="177">
        <v>2</v>
      </c>
      <c r="E136" s="178">
        <v>597143</v>
      </c>
      <c r="F136" s="178">
        <f t="shared" si="2"/>
        <v>1194286</v>
      </c>
      <c r="H136" s="80"/>
      <c r="I136" s="215"/>
      <c r="J136" s="91"/>
      <c r="K136" s="78"/>
      <c r="L136" s="91"/>
    </row>
    <row r="137" spans="1:12" ht="29.25" x14ac:dyDescent="0.25">
      <c r="A137" s="286" t="s">
        <v>384</v>
      </c>
      <c r="B137" s="13" t="s">
        <v>385</v>
      </c>
      <c r="C137" s="286" t="s">
        <v>125</v>
      </c>
      <c r="D137" s="177">
        <v>1</v>
      </c>
      <c r="E137" s="178">
        <v>566908</v>
      </c>
      <c r="F137" s="178">
        <f t="shared" si="2"/>
        <v>566908</v>
      </c>
      <c r="H137" s="80"/>
      <c r="I137" s="215"/>
      <c r="J137" s="91"/>
      <c r="K137" s="78"/>
      <c r="L137" s="91"/>
    </row>
    <row r="138" spans="1:12" ht="29.25" x14ac:dyDescent="0.25">
      <c r="A138" s="286" t="s">
        <v>386</v>
      </c>
      <c r="B138" s="13" t="s">
        <v>588</v>
      </c>
      <c r="C138" s="286" t="s">
        <v>23</v>
      </c>
      <c r="D138" s="177">
        <v>14</v>
      </c>
      <c r="E138" s="178">
        <v>413534</v>
      </c>
      <c r="F138" s="178">
        <f t="shared" si="2"/>
        <v>5789476</v>
      </c>
      <c r="H138" s="80"/>
      <c r="I138" s="215"/>
      <c r="J138" s="91"/>
      <c r="K138" s="78"/>
      <c r="L138" s="91"/>
    </row>
    <row r="139" spans="1:12" ht="72" x14ac:dyDescent="0.25">
      <c r="A139" s="286" t="s">
        <v>388</v>
      </c>
      <c r="B139" s="17" t="s">
        <v>589</v>
      </c>
      <c r="C139" s="286" t="s">
        <v>18</v>
      </c>
      <c r="D139" s="177">
        <v>7.5</v>
      </c>
      <c r="E139" s="178">
        <v>815616</v>
      </c>
      <c r="F139" s="178">
        <f t="shared" si="2"/>
        <v>6117120</v>
      </c>
      <c r="H139" s="80"/>
      <c r="I139" s="215"/>
      <c r="J139" s="91"/>
      <c r="K139" s="78"/>
      <c r="L139" s="91"/>
    </row>
    <row r="140" spans="1:12" ht="57.75" x14ac:dyDescent="0.25">
      <c r="A140" s="286" t="s">
        <v>388</v>
      </c>
      <c r="B140" s="13" t="s">
        <v>590</v>
      </c>
      <c r="C140" s="286" t="s">
        <v>125</v>
      </c>
      <c r="D140" s="177">
        <v>2</v>
      </c>
      <c r="E140" s="178">
        <v>768861</v>
      </c>
      <c r="F140" s="178">
        <f t="shared" si="2"/>
        <v>1537722</v>
      </c>
      <c r="H140" s="80"/>
      <c r="I140" s="215"/>
      <c r="J140" s="91"/>
      <c r="K140" s="78"/>
      <c r="L140" s="91"/>
    </row>
    <row r="141" spans="1:12" x14ac:dyDescent="0.25">
      <c r="A141" s="286">
        <v>7.11</v>
      </c>
      <c r="B141" s="13" t="s">
        <v>526</v>
      </c>
      <c r="C141" s="286" t="s">
        <v>125</v>
      </c>
      <c r="D141" s="177">
        <v>14</v>
      </c>
      <c r="E141" s="178">
        <v>65411</v>
      </c>
      <c r="F141" s="178">
        <f t="shared" si="2"/>
        <v>915754</v>
      </c>
      <c r="H141" s="80"/>
      <c r="I141" s="215"/>
      <c r="J141" s="91"/>
      <c r="K141" s="78"/>
      <c r="L141" s="91"/>
    </row>
    <row r="142" spans="1:12" x14ac:dyDescent="0.25">
      <c r="A142" s="286">
        <v>8</v>
      </c>
      <c r="B142" s="179" t="s">
        <v>394</v>
      </c>
      <c r="C142" s="286"/>
      <c r="D142" s="177"/>
      <c r="E142" s="178" t="s">
        <v>1</v>
      </c>
      <c r="F142" s="178"/>
      <c r="H142" s="80"/>
      <c r="I142" s="215"/>
      <c r="J142" s="91"/>
      <c r="K142" s="78"/>
      <c r="L142" s="91"/>
    </row>
    <row r="143" spans="1:12" ht="29.25" x14ac:dyDescent="0.25">
      <c r="A143" s="286" t="s">
        <v>395</v>
      </c>
      <c r="B143" s="13" t="s">
        <v>396</v>
      </c>
      <c r="C143" s="286" t="s">
        <v>18</v>
      </c>
      <c r="D143" s="177">
        <v>445.2</v>
      </c>
      <c r="E143" s="178">
        <v>14054</v>
      </c>
      <c r="F143" s="178">
        <f>ROUND(D143*E143,0)</f>
        <v>6256841</v>
      </c>
      <c r="H143" s="80"/>
      <c r="I143" s="215"/>
      <c r="J143" s="91"/>
      <c r="K143" s="78"/>
      <c r="L143" s="91"/>
    </row>
    <row r="144" spans="1:12" ht="57" x14ac:dyDescent="0.25">
      <c r="A144" s="286" t="s">
        <v>397</v>
      </c>
      <c r="B144" s="9" t="s">
        <v>398</v>
      </c>
      <c r="C144" s="286" t="s">
        <v>115</v>
      </c>
      <c r="D144" s="177">
        <v>26.35</v>
      </c>
      <c r="E144" s="178">
        <v>1099215</v>
      </c>
      <c r="F144" s="178">
        <f>ROUND(D144*E144,0)</f>
        <v>28964315</v>
      </c>
      <c r="H144" s="80"/>
      <c r="I144" s="215"/>
      <c r="J144" s="91"/>
      <c r="K144" s="78"/>
      <c r="L144" s="91"/>
    </row>
    <row r="145" spans="1:12" ht="29.25" x14ac:dyDescent="0.25">
      <c r="A145" s="286">
        <v>8.3000000000000007</v>
      </c>
      <c r="B145" s="181" t="s">
        <v>400</v>
      </c>
      <c r="C145" s="286" t="s">
        <v>115</v>
      </c>
      <c r="D145" s="177">
        <v>0.7</v>
      </c>
      <c r="E145" s="178">
        <v>751266</v>
      </c>
      <c r="F145" s="178">
        <f>ROUND(D145*E145,0)</f>
        <v>525886</v>
      </c>
      <c r="H145" s="80"/>
      <c r="I145" s="215"/>
      <c r="J145" s="91"/>
      <c r="K145" s="78"/>
      <c r="L145" s="91"/>
    </row>
    <row r="146" spans="1:12" ht="29.25" x14ac:dyDescent="0.25">
      <c r="A146" s="286">
        <v>8.4</v>
      </c>
      <c r="B146" s="13" t="s">
        <v>578</v>
      </c>
      <c r="C146" s="286" t="s">
        <v>20</v>
      </c>
      <c r="D146" s="177">
        <v>134.4</v>
      </c>
      <c r="E146" s="178">
        <v>12023</v>
      </c>
      <c r="F146" s="178">
        <f>ROUND(D146*E146,0)</f>
        <v>1615891</v>
      </c>
      <c r="H146" s="80"/>
      <c r="I146" s="215"/>
      <c r="J146" s="91"/>
      <c r="K146" s="78"/>
      <c r="L146" s="91"/>
    </row>
    <row r="147" spans="1:12" x14ac:dyDescent="0.25">
      <c r="A147" s="219"/>
      <c r="B147" s="18" t="s">
        <v>56</v>
      </c>
      <c r="C147" s="54"/>
      <c r="D147" s="130"/>
      <c r="E147" s="28"/>
      <c r="F147" s="79">
        <f>SUM(F111:F146)</f>
        <v>93047435</v>
      </c>
      <c r="I147" s="78"/>
      <c r="J147" s="78"/>
      <c r="K147" s="78"/>
      <c r="L147" s="91"/>
    </row>
    <row r="148" spans="1:12" x14ac:dyDescent="0.25">
      <c r="A148" s="19"/>
      <c r="B148" s="19" t="s">
        <v>60</v>
      </c>
      <c r="C148" s="19"/>
      <c r="D148" s="19"/>
      <c r="E148" s="19"/>
      <c r="F148" s="29">
        <f>ROUND(F147/1.3495,0)</f>
        <v>68949563</v>
      </c>
      <c r="I148" s="92"/>
      <c r="J148" s="78"/>
      <c r="K148" s="78"/>
      <c r="L148" s="91"/>
    </row>
    <row r="149" spans="1:12" x14ac:dyDescent="0.25">
      <c r="A149" s="19"/>
      <c r="B149" s="19" t="s">
        <v>61</v>
      </c>
      <c r="C149" s="131">
        <v>0.24</v>
      </c>
      <c r="D149" s="19"/>
      <c r="E149" s="19"/>
      <c r="F149" s="29">
        <f>ROUND(F148*C149,0)</f>
        <v>16547895</v>
      </c>
      <c r="I149" s="78"/>
      <c r="J149" s="78"/>
      <c r="K149" s="78"/>
      <c r="L149" s="91"/>
    </row>
    <row r="150" spans="1:12" x14ac:dyDescent="0.25">
      <c r="A150" s="19"/>
      <c r="B150" s="19" t="s">
        <v>57</v>
      </c>
      <c r="C150" s="131">
        <v>0.05</v>
      </c>
      <c r="D150" s="19"/>
      <c r="E150" s="19"/>
      <c r="F150" s="29">
        <f>ROUND(F148*C150,0)</f>
        <v>3447478</v>
      </c>
      <c r="I150" s="78"/>
      <c r="J150" s="78"/>
      <c r="K150" s="78"/>
      <c r="L150" s="91"/>
    </row>
    <row r="151" spans="1:12" x14ac:dyDescent="0.25">
      <c r="A151" s="19"/>
      <c r="B151" s="19" t="s">
        <v>62</v>
      </c>
      <c r="C151" s="131">
        <v>0.05</v>
      </c>
      <c r="D151" s="19"/>
      <c r="E151" s="19"/>
      <c r="F151" s="29">
        <f>ROUND(F148*C151,0)</f>
        <v>3447478</v>
      </c>
      <c r="I151" s="78"/>
      <c r="J151" s="78"/>
      <c r="K151" s="78"/>
      <c r="L151" s="91"/>
    </row>
    <row r="152" spans="1:12" x14ac:dyDescent="0.25">
      <c r="A152" s="19"/>
      <c r="B152" s="132" t="s">
        <v>63</v>
      </c>
      <c r="C152" s="133">
        <v>0.19</v>
      </c>
      <c r="D152" s="120"/>
      <c r="E152" s="120"/>
      <c r="F152" s="35">
        <f>ROUND(F151*19%,0)</f>
        <v>655021</v>
      </c>
      <c r="I152" s="78"/>
      <c r="J152" s="78"/>
      <c r="K152" s="78"/>
      <c r="L152" s="91"/>
    </row>
    <row r="153" spans="1:12" x14ac:dyDescent="0.25">
      <c r="A153" s="19"/>
      <c r="B153" s="18" t="s">
        <v>56</v>
      </c>
      <c r="C153" s="19"/>
      <c r="D153" s="19"/>
      <c r="E153" s="19"/>
      <c r="F153" s="30">
        <f>SUM(F148:F152)</f>
        <v>93047435</v>
      </c>
      <c r="I153" s="78"/>
      <c r="J153" s="78"/>
      <c r="K153" s="78"/>
      <c r="L153" s="91"/>
    </row>
    <row r="154" spans="1:12" ht="15.75" thickBot="1" x14ac:dyDescent="0.3">
      <c r="I154" s="78"/>
      <c r="J154" s="78"/>
      <c r="K154" s="78"/>
      <c r="L154" s="91"/>
    </row>
    <row r="155" spans="1:12" ht="41.25" customHeight="1" x14ac:dyDescent="0.25">
      <c r="A155" s="499" t="s">
        <v>985</v>
      </c>
      <c r="B155" s="500"/>
      <c r="C155" s="500"/>
      <c r="D155" s="500"/>
      <c r="E155" s="500"/>
      <c r="F155" s="501"/>
      <c r="I155" s="78"/>
      <c r="J155" s="78"/>
      <c r="K155" s="78"/>
      <c r="L155" s="91"/>
    </row>
    <row r="156" spans="1:12" ht="15.75" thickBot="1" x14ac:dyDescent="0.3">
      <c r="A156" s="502" t="s">
        <v>1</v>
      </c>
      <c r="B156" s="503"/>
      <c r="C156" s="503"/>
      <c r="D156" s="503"/>
      <c r="E156" s="503"/>
      <c r="F156" s="504"/>
      <c r="I156" s="78"/>
      <c r="J156" s="78"/>
      <c r="K156" s="78"/>
      <c r="L156" s="91"/>
    </row>
    <row r="157" spans="1:12" x14ac:dyDescent="0.25">
      <c r="A157" s="54" t="s">
        <v>421</v>
      </c>
      <c r="B157" s="54" t="s">
        <v>422</v>
      </c>
      <c r="C157" s="54" t="s">
        <v>423</v>
      </c>
      <c r="D157" s="54" t="s">
        <v>13</v>
      </c>
      <c r="E157" s="54" t="s">
        <v>424</v>
      </c>
      <c r="F157" s="54" t="s">
        <v>425</v>
      </c>
      <c r="I157" s="78"/>
      <c r="J157" s="78"/>
      <c r="K157" s="78"/>
      <c r="L157" s="91"/>
    </row>
    <row r="158" spans="1:12" x14ac:dyDescent="0.25">
      <c r="A158" s="286" t="s">
        <v>338</v>
      </c>
      <c r="B158" s="11" t="s">
        <v>16</v>
      </c>
      <c r="C158" s="286"/>
      <c r="D158" s="177"/>
      <c r="E158" s="178"/>
      <c r="F158" s="178"/>
      <c r="I158" s="78"/>
      <c r="J158" s="78"/>
      <c r="K158" s="78"/>
      <c r="L158" s="91"/>
    </row>
    <row r="159" spans="1:12" ht="43.5" x14ac:dyDescent="0.25">
      <c r="A159" s="286" t="s">
        <v>339</v>
      </c>
      <c r="B159" s="13" t="s">
        <v>340</v>
      </c>
      <c r="C159" s="286" t="s">
        <v>341</v>
      </c>
      <c r="D159" s="177">
        <v>56</v>
      </c>
      <c r="E159" s="178">
        <v>7564</v>
      </c>
      <c r="F159" s="178">
        <f>ROUND(D159*E159,0)</f>
        <v>423584</v>
      </c>
      <c r="H159" s="80"/>
      <c r="I159" s="91"/>
      <c r="J159" s="78"/>
      <c r="K159" s="78"/>
      <c r="L159" s="91"/>
    </row>
    <row r="160" spans="1:12" ht="43.5" x14ac:dyDescent="0.25">
      <c r="A160" s="286" t="s">
        <v>342</v>
      </c>
      <c r="B160" s="13" t="s">
        <v>343</v>
      </c>
      <c r="C160" s="286" t="s">
        <v>341</v>
      </c>
      <c r="D160" s="177">
        <v>128</v>
      </c>
      <c r="E160" s="178">
        <v>12418</v>
      </c>
      <c r="F160" s="178">
        <f>ROUND(D160*E160,0)</f>
        <v>1589504</v>
      </c>
      <c r="H160" s="80"/>
      <c r="I160" s="91"/>
      <c r="J160" s="78"/>
      <c r="K160" s="78"/>
      <c r="L160" s="91"/>
    </row>
    <row r="161" spans="1:12" ht="43.5" x14ac:dyDescent="0.25">
      <c r="A161" s="286" t="s">
        <v>344</v>
      </c>
      <c r="B161" s="17" t="s">
        <v>591</v>
      </c>
      <c r="C161" s="286" t="s">
        <v>23</v>
      </c>
      <c r="D161" s="177">
        <v>2</v>
      </c>
      <c r="E161" s="178">
        <v>243668</v>
      </c>
      <c r="F161" s="178">
        <f>ROUND(D161*E161,0)</f>
        <v>487336</v>
      </c>
      <c r="H161" s="80"/>
      <c r="I161" s="91"/>
      <c r="J161" s="141"/>
      <c r="K161" s="141"/>
      <c r="L161" s="91"/>
    </row>
    <row r="162" spans="1:12" x14ac:dyDescent="0.25">
      <c r="A162" s="286">
        <v>2</v>
      </c>
      <c r="B162" s="11" t="s">
        <v>347</v>
      </c>
      <c r="C162" s="286"/>
      <c r="D162" s="177"/>
      <c r="E162" s="178" t="s">
        <v>1</v>
      </c>
      <c r="F162" s="178"/>
      <c r="H162" s="80"/>
      <c r="I162" s="91"/>
      <c r="J162" s="78"/>
      <c r="K162" s="78"/>
      <c r="L162" s="91"/>
    </row>
    <row r="163" spans="1:12" x14ac:dyDescent="0.25">
      <c r="A163" s="286" t="s">
        <v>348</v>
      </c>
      <c r="B163" s="19" t="s">
        <v>349</v>
      </c>
      <c r="C163" s="286" t="s">
        <v>115</v>
      </c>
      <c r="D163" s="177">
        <v>21.52</v>
      </c>
      <c r="E163" s="178">
        <v>141463</v>
      </c>
      <c r="F163" s="178">
        <f>ROUND(D163*E163,0)</f>
        <v>3044284</v>
      </c>
      <c r="H163" s="80"/>
      <c r="I163" s="91"/>
      <c r="J163" s="78"/>
      <c r="K163" s="78"/>
      <c r="L163" s="91"/>
    </row>
    <row r="164" spans="1:12" ht="29.25" x14ac:dyDescent="0.25">
      <c r="A164" s="286">
        <v>2.2000000000000002</v>
      </c>
      <c r="B164" s="13" t="s">
        <v>569</v>
      </c>
      <c r="C164" s="286" t="s">
        <v>115</v>
      </c>
      <c r="D164" s="177">
        <v>1.2</v>
      </c>
      <c r="E164" s="178">
        <v>114584</v>
      </c>
      <c r="F164" s="178">
        <f>ROUND(D164*E164,0)</f>
        <v>137501</v>
      </c>
      <c r="H164" s="80"/>
      <c r="I164" s="91"/>
      <c r="J164" s="78"/>
      <c r="K164" s="78"/>
      <c r="L164" s="91"/>
    </row>
    <row r="165" spans="1:12" ht="29.25" x14ac:dyDescent="0.25">
      <c r="A165" s="286">
        <v>2.2999999999999998</v>
      </c>
      <c r="B165" s="13" t="s">
        <v>464</v>
      </c>
      <c r="C165" s="286" t="s">
        <v>115</v>
      </c>
      <c r="D165" s="177">
        <v>0.5</v>
      </c>
      <c r="E165" s="178">
        <v>107656</v>
      </c>
      <c r="F165" s="178">
        <f>ROUND(D165*E165,0)</f>
        <v>53828</v>
      </c>
      <c r="H165" s="80"/>
      <c r="I165" s="91"/>
      <c r="J165" s="78"/>
      <c r="K165" s="78"/>
      <c r="L165" s="91"/>
    </row>
    <row r="166" spans="1:12" x14ac:dyDescent="0.25">
      <c r="A166" s="286">
        <v>3</v>
      </c>
      <c r="B166" s="179" t="s">
        <v>353</v>
      </c>
      <c r="C166" s="286"/>
      <c r="D166" s="177"/>
      <c r="E166" s="178" t="s">
        <v>1</v>
      </c>
      <c r="F166" s="178"/>
      <c r="H166" s="80"/>
      <c r="I166" s="91"/>
      <c r="J166" s="78"/>
      <c r="K166" s="78"/>
      <c r="L166" s="91"/>
    </row>
    <row r="167" spans="1:12" ht="29.25" x14ac:dyDescent="0.25">
      <c r="A167" s="286" t="s">
        <v>354</v>
      </c>
      <c r="B167" s="13" t="s">
        <v>355</v>
      </c>
      <c r="C167" s="286" t="s">
        <v>115</v>
      </c>
      <c r="D167" s="177">
        <v>158.15</v>
      </c>
      <c r="E167" s="178">
        <v>36641</v>
      </c>
      <c r="F167" s="178">
        <f>ROUND(D167*E167,0)</f>
        <v>5794774</v>
      </c>
      <c r="H167" s="80"/>
      <c r="I167" s="91"/>
      <c r="J167" s="78"/>
      <c r="K167" s="78"/>
      <c r="L167" s="91"/>
    </row>
    <row r="168" spans="1:12" x14ac:dyDescent="0.25">
      <c r="A168" s="286">
        <v>4</v>
      </c>
      <c r="B168" s="179" t="s">
        <v>356</v>
      </c>
      <c r="C168" s="286"/>
      <c r="D168" s="177"/>
      <c r="E168" s="178" t="s">
        <v>1</v>
      </c>
      <c r="F168" s="178"/>
      <c r="H168" s="80"/>
      <c r="I168" s="91"/>
      <c r="J168" s="78"/>
      <c r="K168" s="78"/>
      <c r="L168" s="91"/>
    </row>
    <row r="169" spans="1:12" ht="29.25" x14ac:dyDescent="0.25">
      <c r="A169" s="286" t="s">
        <v>357</v>
      </c>
      <c r="B169" s="13" t="s">
        <v>358</v>
      </c>
      <c r="C169" s="286" t="s">
        <v>115</v>
      </c>
      <c r="D169" s="177">
        <v>88.9</v>
      </c>
      <c r="E169" s="178">
        <v>30196</v>
      </c>
      <c r="F169" s="178">
        <f>ROUND(D169*E169,0)</f>
        <v>2684424</v>
      </c>
      <c r="H169" s="80"/>
      <c r="I169" s="91"/>
      <c r="J169" s="78"/>
      <c r="K169" s="78"/>
      <c r="L169" s="91"/>
    </row>
    <row r="170" spans="1:12" ht="29.25" x14ac:dyDescent="0.25">
      <c r="A170" s="286">
        <v>4.2</v>
      </c>
      <c r="B170" s="13" t="s">
        <v>359</v>
      </c>
      <c r="C170" s="286" t="s">
        <v>115</v>
      </c>
      <c r="D170" s="177">
        <v>59.26</v>
      </c>
      <c r="E170" s="178">
        <v>35903</v>
      </c>
      <c r="F170" s="178">
        <f>ROUND(D170*E170,0)</f>
        <v>2127612</v>
      </c>
      <c r="H170" s="80"/>
      <c r="I170" s="91"/>
      <c r="J170" s="78"/>
      <c r="K170" s="78"/>
      <c r="L170" s="91"/>
    </row>
    <row r="171" spans="1:12" x14ac:dyDescent="0.25">
      <c r="A171" s="286">
        <v>4.3</v>
      </c>
      <c r="B171" s="13" t="s">
        <v>407</v>
      </c>
      <c r="C171" s="286" t="s">
        <v>18</v>
      </c>
      <c r="D171" s="177">
        <v>40</v>
      </c>
      <c r="E171" s="178">
        <v>36641</v>
      </c>
      <c r="F171" s="178">
        <f>ROUND(D171*E171,0)</f>
        <v>1465640</v>
      </c>
      <c r="H171" s="80"/>
      <c r="I171" s="91"/>
      <c r="J171" s="78"/>
      <c r="K171" s="78"/>
      <c r="L171" s="91"/>
    </row>
    <row r="172" spans="1:12" x14ac:dyDescent="0.25">
      <c r="A172" s="286">
        <v>5</v>
      </c>
      <c r="B172" s="179" t="s">
        <v>361</v>
      </c>
      <c r="C172" s="286"/>
      <c r="D172" s="177"/>
      <c r="E172" s="178" t="s">
        <v>1</v>
      </c>
      <c r="F172" s="178"/>
      <c r="H172" s="80"/>
      <c r="I172" s="91"/>
      <c r="J172" s="78"/>
      <c r="K172" s="78"/>
      <c r="L172" s="91"/>
    </row>
    <row r="173" spans="1:12" ht="29.25" x14ac:dyDescent="0.25">
      <c r="A173" s="286" t="s">
        <v>362</v>
      </c>
      <c r="B173" s="13" t="s">
        <v>363</v>
      </c>
      <c r="C173" s="286" t="s">
        <v>115</v>
      </c>
      <c r="D173" s="177">
        <v>33.369999999999997</v>
      </c>
      <c r="E173" s="178">
        <v>24785</v>
      </c>
      <c r="F173" s="178">
        <f>ROUND(D173*E173,0)</f>
        <v>827075</v>
      </c>
      <c r="H173" s="80"/>
      <c r="I173" s="91"/>
      <c r="J173" s="78"/>
      <c r="K173" s="78"/>
      <c r="L173" s="91"/>
    </row>
    <row r="174" spans="1:12" ht="29.25" x14ac:dyDescent="0.25">
      <c r="A174" s="286" t="s">
        <v>364</v>
      </c>
      <c r="B174" s="13" t="s">
        <v>365</v>
      </c>
      <c r="C174" s="286" t="s">
        <v>115</v>
      </c>
      <c r="D174" s="177">
        <v>22.25</v>
      </c>
      <c r="E174" s="178">
        <v>106445</v>
      </c>
      <c r="F174" s="178">
        <f>ROUND(D174*E174,0)</f>
        <v>2368401</v>
      </c>
      <c r="H174" s="80"/>
      <c r="I174" s="91"/>
      <c r="J174" s="78"/>
      <c r="K174" s="78"/>
      <c r="L174" s="91"/>
    </row>
    <row r="175" spans="1:12" ht="30" x14ac:dyDescent="0.25">
      <c r="A175" s="286">
        <v>6</v>
      </c>
      <c r="B175" s="179" t="s">
        <v>366</v>
      </c>
      <c r="C175" s="286"/>
      <c r="D175" s="177"/>
      <c r="E175" s="178" t="s">
        <v>1</v>
      </c>
      <c r="F175" s="178"/>
      <c r="H175" s="80"/>
      <c r="I175" s="91"/>
      <c r="J175" s="78"/>
      <c r="K175" s="78"/>
      <c r="L175" s="91"/>
    </row>
    <row r="176" spans="1:12" x14ac:dyDescent="0.25">
      <c r="A176" s="286" t="s">
        <v>367</v>
      </c>
      <c r="B176" s="13" t="s">
        <v>592</v>
      </c>
      <c r="C176" s="286" t="s">
        <v>115</v>
      </c>
      <c r="D176" s="177">
        <v>0.5</v>
      </c>
      <c r="E176" s="178">
        <v>99425</v>
      </c>
      <c r="F176" s="178">
        <f>ROUND(D176*E176,0)</f>
        <v>49713</v>
      </c>
      <c r="H176" s="80"/>
      <c r="I176" s="91"/>
      <c r="J176" s="78"/>
      <c r="K176" s="78"/>
      <c r="L176" s="91"/>
    </row>
    <row r="177" spans="1:12" ht="29.25" x14ac:dyDescent="0.25">
      <c r="A177" s="286">
        <v>6.2</v>
      </c>
      <c r="B177" s="13" t="s">
        <v>593</v>
      </c>
      <c r="C177" s="286" t="s">
        <v>115</v>
      </c>
      <c r="D177" s="177">
        <v>21.52</v>
      </c>
      <c r="E177" s="178">
        <v>190032</v>
      </c>
      <c r="F177" s="178">
        <f>ROUND(D177*E177,0)</f>
        <v>4089489</v>
      </c>
      <c r="H177" s="80"/>
      <c r="I177" s="91"/>
      <c r="J177" s="78"/>
      <c r="K177" s="78"/>
      <c r="L177" s="91"/>
    </row>
    <row r="178" spans="1:12" ht="29.25" x14ac:dyDescent="0.25">
      <c r="A178" s="286">
        <v>6.3</v>
      </c>
      <c r="B178" s="13" t="s">
        <v>468</v>
      </c>
      <c r="C178" s="286" t="s">
        <v>115</v>
      </c>
      <c r="D178" s="177">
        <v>30.9</v>
      </c>
      <c r="E178" s="178">
        <v>100848</v>
      </c>
      <c r="F178" s="178">
        <f>ROUND(D178*E178,0)</f>
        <v>3116203</v>
      </c>
      <c r="H178" s="80"/>
      <c r="I178" s="91"/>
      <c r="J178" s="78"/>
      <c r="K178" s="78"/>
      <c r="L178" s="91"/>
    </row>
    <row r="179" spans="1:12" x14ac:dyDescent="0.25">
      <c r="A179" s="286">
        <v>7</v>
      </c>
      <c r="B179" s="179" t="s">
        <v>371</v>
      </c>
      <c r="C179" s="286"/>
      <c r="D179" s="177"/>
      <c r="E179" s="178" t="s">
        <v>1</v>
      </c>
      <c r="F179" s="178"/>
      <c r="H179" s="80"/>
      <c r="I179" s="91"/>
      <c r="J179" s="78"/>
      <c r="K179" s="78"/>
      <c r="L179" s="91"/>
    </row>
    <row r="180" spans="1:12" ht="29.25" x14ac:dyDescent="0.25">
      <c r="A180" s="286" t="s">
        <v>372</v>
      </c>
      <c r="B180" s="13" t="s">
        <v>594</v>
      </c>
      <c r="C180" s="286" t="s">
        <v>18</v>
      </c>
      <c r="D180" s="177">
        <v>100</v>
      </c>
      <c r="E180" s="178">
        <v>13960</v>
      </c>
      <c r="F180" s="178">
        <f>ROUND(D180*E180,0)</f>
        <v>1396000</v>
      </c>
      <c r="H180" s="80"/>
      <c r="I180" s="91"/>
      <c r="J180" s="78"/>
      <c r="K180" s="78"/>
      <c r="L180" s="91"/>
    </row>
    <row r="181" spans="1:12" ht="29.25" x14ac:dyDescent="0.25">
      <c r="A181" s="286">
        <v>7.2</v>
      </c>
      <c r="B181" s="13" t="s">
        <v>595</v>
      </c>
      <c r="C181" s="286" t="s">
        <v>18</v>
      </c>
      <c r="D181" s="177">
        <v>56</v>
      </c>
      <c r="E181" s="178">
        <v>27441</v>
      </c>
      <c r="F181" s="178">
        <f>ROUND(D181*E181,0)</f>
        <v>1536696</v>
      </c>
      <c r="H181" s="80"/>
      <c r="I181" s="91"/>
      <c r="J181" s="78"/>
      <c r="K181" s="78"/>
      <c r="L181" s="91"/>
    </row>
    <row r="182" spans="1:12" x14ac:dyDescent="0.25">
      <c r="A182" s="286" t="s">
        <v>376</v>
      </c>
      <c r="B182" s="13" t="s">
        <v>573</v>
      </c>
      <c r="C182" s="286" t="s">
        <v>125</v>
      </c>
      <c r="D182" s="177">
        <v>2</v>
      </c>
      <c r="E182" s="178">
        <v>103880</v>
      </c>
      <c r="F182" s="178">
        <f t="shared" ref="F182:F187" si="3">ROUND(D182*E182,0)</f>
        <v>207760</v>
      </c>
      <c r="H182" s="80"/>
      <c r="I182" s="91"/>
      <c r="J182" s="78"/>
      <c r="K182" s="78"/>
      <c r="L182" s="91"/>
    </row>
    <row r="183" spans="1:12" x14ac:dyDescent="0.25">
      <c r="A183" s="286" t="s">
        <v>596</v>
      </c>
      <c r="B183" s="13" t="s">
        <v>597</v>
      </c>
      <c r="C183" s="286" t="s">
        <v>23</v>
      </c>
      <c r="D183" s="177">
        <v>5</v>
      </c>
      <c r="E183" s="178">
        <v>69353</v>
      </c>
      <c r="F183" s="178">
        <f t="shared" si="3"/>
        <v>346765</v>
      </c>
      <c r="H183" s="80"/>
      <c r="I183" s="91"/>
      <c r="J183" s="78"/>
      <c r="K183" s="78"/>
      <c r="L183" s="91"/>
    </row>
    <row r="184" spans="1:12" ht="29.25" x14ac:dyDescent="0.25">
      <c r="A184" s="286" t="s">
        <v>382</v>
      </c>
      <c r="B184" s="13" t="s">
        <v>383</v>
      </c>
      <c r="C184" s="286" t="s">
        <v>125</v>
      </c>
      <c r="D184" s="177">
        <v>2</v>
      </c>
      <c r="E184" s="178">
        <v>605385</v>
      </c>
      <c r="F184" s="178">
        <f t="shared" si="3"/>
        <v>1210770</v>
      </c>
      <c r="H184" s="80"/>
      <c r="I184" s="91"/>
      <c r="J184" s="78"/>
      <c r="K184" s="78"/>
      <c r="L184" s="91"/>
    </row>
    <row r="185" spans="1:12" ht="29.25" x14ac:dyDescent="0.25">
      <c r="A185" s="286" t="s">
        <v>386</v>
      </c>
      <c r="B185" s="13" t="s">
        <v>588</v>
      </c>
      <c r="C185" s="286" t="s">
        <v>23</v>
      </c>
      <c r="D185" s="177">
        <v>10</v>
      </c>
      <c r="E185" s="178">
        <v>419242</v>
      </c>
      <c r="F185" s="178">
        <f t="shared" si="3"/>
        <v>4192420</v>
      </c>
      <c r="H185" s="80"/>
      <c r="I185" s="91"/>
      <c r="J185" s="78"/>
      <c r="K185" s="78"/>
      <c r="L185" s="91"/>
    </row>
    <row r="186" spans="1:12" ht="43.5" x14ac:dyDescent="0.25">
      <c r="A186" s="286" t="s">
        <v>390</v>
      </c>
      <c r="B186" s="13" t="s">
        <v>598</v>
      </c>
      <c r="C186" s="286" t="s">
        <v>125</v>
      </c>
      <c r="D186" s="177">
        <v>2</v>
      </c>
      <c r="E186" s="178">
        <v>779473</v>
      </c>
      <c r="F186" s="178">
        <f t="shared" si="3"/>
        <v>1558946</v>
      </c>
      <c r="H186" s="80"/>
      <c r="I186" s="91"/>
      <c r="J186" s="78"/>
      <c r="K186" s="78"/>
      <c r="L186" s="91"/>
    </row>
    <row r="187" spans="1:12" x14ac:dyDescent="0.25">
      <c r="A187" s="286" t="s">
        <v>392</v>
      </c>
      <c r="B187" s="13" t="s">
        <v>526</v>
      </c>
      <c r="C187" s="286" t="s">
        <v>125</v>
      </c>
      <c r="D187" s="177">
        <v>10</v>
      </c>
      <c r="E187" s="178">
        <v>66314</v>
      </c>
      <c r="F187" s="178">
        <f t="shared" si="3"/>
        <v>663140</v>
      </c>
      <c r="H187" s="80"/>
      <c r="I187" s="91"/>
      <c r="J187" s="78"/>
      <c r="K187" s="78"/>
      <c r="L187" s="91"/>
    </row>
    <row r="188" spans="1:12" x14ac:dyDescent="0.25">
      <c r="A188" s="286">
        <v>8</v>
      </c>
      <c r="B188" s="179" t="s">
        <v>394</v>
      </c>
      <c r="C188" s="286"/>
      <c r="D188" s="177"/>
      <c r="E188" s="178" t="s">
        <v>1</v>
      </c>
      <c r="F188" s="178"/>
      <c r="H188" s="80"/>
      <c r="I188" s="91"/>
      <c r="J188" s="78"/>
      <c r="K188" s="78"/>
      <c r="L188" s="91"/>
    </row>
    <row r="189" spans="1:12" ht="29.25" x14ac:dyDescent="0.25">
      <c r="A189" s="286" t="s">
        <v>395</v>
      </c>
      <c r="B189" s="13" t="s">
        <v>396</v>
      </c>
      <c r="C189" s="286" t="s">
        <v>18</v>
      </c>
      <c r="D189" s="177">
        <v>340</v>
      </c>
      <c r="E189" s="178">
        <v>14248</v>
      </c>
      <c r="F189" s="178">
        <f>ROUND(D189*E189,0)</f>
        <v>4844320</v>
      </c>
      <c r="H189" s="80"/>
      <c r="I189" s="91"/>
      <c r="J189" s="78"/>
      <c r="K189" s="78"/>
      <c r="L189" s="91"/>
    </row>
    <row r="190" spans="1:12" ht="57" x14ac:dyDescent="0.25">
      <c r="A190" s="286" t="s">
        <v>397</v>
      </c>
      <c r="B190" s="9" t="s">
        <v>398</v>
      </c>
      <c r="C190" s="286" t="s">
        <v>115</v>
      </c>
      <c r="D190" s="177">
        <v>19.37</v>
      </c>
      <c r="E190" s="178">
        <v>1114387</v>
      </c>
      <c r="F190" s="178">
        <f>ROUND(D190*E190,0)</f>
        <v>21585676</v>
      </c>
      <c r="H190" s="80"/>
      <c r="I190" s="91"/>
      <c r="J190" s="78"/>
      <c r="K190" s="78"/>
      <c r="L190" s="91"/>
    </row>
    <row r="191" spans="1:12" ht="29.25" x14ac:dyDescent="0.25">
      <c r="A191" s="286">
        <v>8.3000000000000007</v>
      </c>
      <c r="B191" s="181" t="s">
        <v>400</v>
      </c>
      <c r="C191" s="286" t="s">
        <v>115</v>
      </c>
      <c r="D191" s="177">
        <v>0.5</v>
      </c>
      <c r="E191" s="178">
        <v>761635</v>
      </c>
      <c r="F191" s="178">
        <f>ROUND(D191*E191,0)</f>
        <v>380818</v>
      </c>
      <c r="H191" s="80"/>
      <c r="I191" s="91"/>
      <c r="J191" s="78"/>
      <c r="K191" s="78"/>
      <c r="L191" s="91"/>
    </row>
    <row r="192" spans="1:12" ht="29.25" x14ac:dyDescent="0.25">
      <c r="A192" s="286">
        <v>8.4</v>
      </c>
      <c r="B192" s="13" t="s">
        <v>578</v>
      </c>
      <c r="C192" s="286" t="s">
        <v>20</v>
      </c>
      <c r="D192" s="177">
        <v>107.6</v>
      </c>
      <c r="E192" s="178">
        <v>12189</v>
      </c>
      <c r="F192" s="178">
        <f>ROUND(D192*E192,0)</f>
        <v>1311536</v>
      </c>
      <c r="H192" s="80"/>
      <c r="I192" s="91"/>
      <c r="J192" s="78"/>
      <c r="K192" s="78"/>
      <c r="L192" s="91"/>
    </row>
    <row r="193" spans="1:12" x14ac:dyDescent="0.25">
      <c r="A193" s="219"/>
      <c r="B193" s="18" t="s">
        <v>56</v>
      </c>
      <c r="C193" s="54"/>
      <c r="D193" s="130"/>
      <c r="E193" s="28"/>
      <c r="F193" s="79">
        <f>SUM(F159:F192)</f>
        <v>67494215</v>
      </c>
      <c r="G193" s="298"/>
      <c r="H193" s="83"/>
      <c r="I193" s="92"/>
      <c r="J193" s="78"/>
      <c r="K193" s="93"/>
      <c r="L193" s="91"/>
    </row>
    <row r="194" spans="1:12" x14ac:dyDescent="0.25">
      <c r="A194" s="19"/>
      <c r="B194" s="19" t="s">
        <v>60</v>
      </c>
      <c r="C194" s="19"/>
      <c r="D194" s="19"/>
      <c r="E194" s="19"/>
      <c r="F194" s="29">
        <f>ROUND(F193/1.3495,0)</f>
        <v>50014239</v>
      </c>
      <c r="I194" s="82"/>
      <c r="J194" s="78"/>
      <c r="K194" s="78"/>
      <c r="L194" s="91"/>
    </row>
    <row r="195" spans="1:12" x14ac:dyDescent="0.25">
      <c r="A195" s="19"/>
      <c r="B195" s="19" t="s">
        <v>61</v>
      </c>
      <c r="C195" s="131">
        <v>0.24</v>
      </c>
      <c r="D195" s="19"/>
      <c r="E195" s="19"/>
      <c r="F195" s="29">
        <f>ROUND(F194*C195,0)</f>
        <v>12003417</v>
      </c>
      <c r="I195" s="78"/>
      <c r="J195" s="78"/>
      <c r="K195" s="78"/>
      <c r="L195" s="91"/>
    </row>
    <row r="196" spans="1:12" x14ac:dyDescent="0.25">
      <c r="A196" s="19"/>
      <c r="B196" s="19" t="s">
        <v>57</v>
      </c>
      <c r="C196" s="131">
        <v>0.05</v>
      </c>
      <c r="D196" s="19"/>
      <c r="E196" s="19"/>
      <c r="F196" s="29">
        <f>ROUND(F194*C196,0)</f>
        <v>2500712</v>
      </c>
      <c r="I196" s="78"/>
      <c r="J196" s="78"/>
      <c r="K196" s="78"/>
      <c r="L196" s="91"/>
    </row>
    <row r="197" spans="1:12" x14ac:dyDescent="0.25">
      <c r="A197" s="19"/>
      <c r="B197" s="19" t="s">
        <v>62</v>
      </c>
      <c r="C197" s="131">
        <v>0.05</v>
      </c>
      <c r="D197" s="19"/>
      <c r="E197" s="19"/>
      <c r="F197" s="29">
        <f>ROUND(F194*C197,0)</f>
        <v>2500712</v>
      </c>
      <c r="I197" s="78"/>
      <c r="J197" s="78"/>
      <c r="K197" s="78"/>
      <c r="L197" s="91"/>
    </row>
    <row r="198" spans="1:12" x14ac:dyDescent="0.25">
      <c r="A198" s="19"/>
      <c r="B198" s="132" t="s">
        <v>63</v>
      </c>
      <c r="C198" s="133">
        <v>0.19</v>
      </c>
      <c r="D198" s="120"/>
      <c r="E198" s="120"/>
      <c r="F198" s="35">
        <f>ROUND(F197*19%,0)</f>
        <v>475135</v>
      </c>
      <c r="I198" s="78"/>
      <c r="J198" s="78"/>
      <c r="K198" s="78"/>
      <c r="L198" s="91"/>
    </row>
    <row r="199" spans="1:12" x14ac:dyDescent="0.25">
      <c r="A199" s="19"/>
      <c r="B199" s="18" t="s">
        <v>56</v>
      </c>
      <c r="C199" s="19"/>
      <c r="D199" s="19"/>
      <c r="E199" s="19"/>
      <c r="F199" s="30">
        <f>SUM(F194:F198)</f>
        <v>67494215</v>
      </c>
      <c r="I199" s="78"/>
      <c r="J199" s="78"/>
      <c r="K199" s="78"/>
      <c r="L199" s="91"/>
    </row>
    <row r="200" spans="1:12" ht="15.75" thickBot="1" x14ac:dyDescent="0.3">
      <c r="I200" s="78"/>
      <c r="J200" s="78"/>
      <c r="K200" s="78"/>
      <c r="L200" s="91"/>
    </row>
    <row r="201" spans="1:12" ht="38.25" customHeight="1" x14ac:dyDescent="0.25">
      <c r="A201" s="497" t="s">
        <v>1001</v>
      </c>
      <c r="B201" s="498"/>
      <c r="C201" s="498"/>
      <c r="D201" s="498"/>
      <c r="E201" s="498"/>
      <c r="F201" s="498"/>
      <c r="I201" s="78"/>
      <c r="J201" s="78"/>
      <c r="K201" s="78"/>
      <c r="L201" s="91"/>
    </row>
    <row r="202" spans="1:12" x14ac:dyDescent="0.25">
      <c r="A202" s="515" t="s">
        <v>1</v>
      </c>
      <c r="B202" s="516"/>
      <c r="C202" s="516"/>
      <c r="D202" s="516"/>
      <c r="E202" s="516"/>
      <c r="F202" s="516"/>
      <c r="I202" s="78"/>
      <c r="J202" s="78"/>
      <c r="K202" s="78"/>
      <c r="L202" s="91"/>
    </row>
    <row r="203" spans="1:12" x14ac:dyDescent="0.25">
      <c r="A203" s="54" t="s">
        <v>421</v>
      </c>
      <c r="B203" s="54" t="s">
        <v>422</v>
      </c>
      <c r="C203" s="54" t="s">
        <v>423</v>
      </c>
      <c r="D203" s="54" t="s">
        <v>13</v>
      </c>
      <c r="E203" s="54" t="s">
        <v>424</v>
      </c>
      <c r="F203" s="54" t="s">
        <v>425</v>
      </c>
      <c r="I203" s="78"/>
      <c r="J203" s="78"/>
      <c r="K203" s="78"/>
      <c r="L203" s="91"/>
    </row>
    <row r="204" spans="1:12" x14ac:dyDescent="0.25">
      <c r="A204" s="286" t="s">
        <v>338</v>
      </c>
      <c r="B204" s="11" t="s">
        <v>16</v>
      </c>
      <c r="C204" s="286"/>
      <c r="D204" s="177"/>
      <c r="E204" s="178"/>
      <c r="F204" s="178"/>
      <c r="I204" s="78"/>
      <c r="J204" s="78"/>
      <c r="K204" s="78"/>
      <c r="L204" s="91"/>
    </row>
    <row r="205" spans="1:12" ht="43.5" x14ac:dyDescent="0.25">
      <c r="A205" s="286" t="s">
        <v>339</v>
      </c>
      <c r="B205" s="13" t="s">
        <v>599</v>
      </c>
      <c r="C205" s="286" t="s">
        <v>341</v>
      </c>
      <c r="D205" s="177">
        <v>99</v>
      </c>
      <c r="E205" s="178">
        <v>7564</v>
      </c>
      <c r="F205" s="178">
        <f>ROUND(D205*E205,0)</f>
        <v>748836</v>
      </c>
      <c r="I205" s="91"/>
      <c r="J205" s="78"/>
      <c r="K205" s="78"/>
      <c r="L205" s="91"/>
    </row>
    <row r="206" spans="1:12" ht="43.5" x14ac:dyDescent="0.25">
      <c r="A206" s="286" t="s">
        <v>342</v>
      </c>
      <c r="B206" s="13" t="s">
        <v>600</v>
      </c>
      <c r="C206" s="286" t="s">
        <v>341</v>
      </c>
      <c r="D206" s="177">
        <v>212</v>
      </c>
      <c r="E206" s="178">
        <v>12418</v>
      </c>
      <c r="F206" s="178">
        <f>ROUND(D206*E206,0)</f>
        <v>2632616</v>
      </c>
      <c r="I206" s="91"/>
      <c r="J206" s="78"/>
      <c r="K206" s="78"/>
      <c r="L206" s="91"/>
    </row>
    <row r="207" spans="1:12" ht="43.5" x14ac:dyDescent="0.25">
      <c r="A207" s="286" t="s">
        <v>405</v>
      </c>
      <c r="B207" s="17" t="s">
        <v>591</v>
      </c>
      <c r="C207" s="286" t="s">
        <v>23</v>
      </c>
      <c r="D207" s="177">
        <v>6</v>
      </c>
      <c r="E207" s="178">
        <v>243668</v>
      </c>
      <c r="F207" s="178">
        <f>ROUND(D207*E207,0)</f>
        <v>1462008</v>
      </c>
      <c r="I207" s="91"/>
      <c r="J207" s="78"/>
      <c r="K207" s="78"/>
      <c r="L207" s="91"/>
    </row>
    <row r="208" spans="1:12" x14ac:dyDescent="0.25">
      <c r="A208" s="286">
        <v>2</v>
      </c>
      <c r="B208" s="11" t="s">
        <v>347</v>
      </c>
      <c r="C208" s="286"/>
      <c r="D208" s="177"/>
      <c r="E208" s="178" t="s">
        <v>1</v>
      </c>
      <c r="F208" s="178"/>
      <c r="I208" s="91"/>
      <c r="J208" s="78"/>
      <c r="K208" s="78"/>
      <c r="L208" s="91"/>
    </row>
    <row r="209" spans="1:12" x14ac:dyDescent="0.25">
      <c r="A209" s="286" t="s">
        <v>348</v>
      </c>
      <c r="B209" s="19" t="s">
        <v>349</v>
      </c>
      <c r="C209" s="286" t="s">
        <v>115</v>
      </c>
      <c r="D209" s="177">
        <v>43.56</v>
      </c>
      <c r="E209" s="178">
        <v>141463</v>
      </c>
      <c r="F209" s="178">
        <f>ROUND(D209*E209,0)</f>
        <v>6162128</v>
      </c>
      <c r="I209" s="91"/>
      <c r="J209" s="78"/>
      <c r="K209" s="78"/>
      <c r="L209" s="91"/>
    </row>
    <row r="210" spans="1:12" ht="29.25" x14ac:dyDescent="0.25">
      <c r="A210" s="286">
        <v>2.2000000000000002</v>
      </c>
      <c r="B210" s="13" t="s">
        <v>569</v>
      </c>
      <c r="C210" s="286" t="s">
        <v>115</v>
      </c>
      <c r="D210" s="177">
        <v>2</v>
      </c>
      <c r="E210" s="178">
        <v>114584</v>
      </c>
      <c r="F210" s="178">
        <f>ROUND(D210*E210,0)</f>
        <v>229168</v>
      </c>
      <c r="I210" s="91"/>
      <c r="J210" s="78"/>
      <c r="K210" s="78"/>
      <c r="L210" s="91"/>
    </row>
    <row r="211" spans="1:12" ht="29.25" x14ac:dyDescent="0.25">
      <c r="A211" s="286">
        <v>2.2999999999999998</v>
      </c>
      <c r="B211" s="13" t="s">
        <v>464</v>
      </c>
      <c r="C211" s="286" t="s">
        <v>115</v>
      </c>
      <c r="D211" s="177">
        <v>2.2000000000000002</v>
      </c>
      <c r="E211" s="178">
        <v>107656</v>
      </c>
      <c r="F211" s="178">
        <f>ROUND(D211*E211,0)</f>
        <v>236843</v>
      </c>
      <c r="I211" s="91"/>
      <c r="J211" s="78"/>
      <c r="K211" s="78"/>
      <c r="L211" s="91"/>
    </row>
    <row r="212" spans="1:12" x14ac:dyDescent="0.25">
      <c r="A212" s="286">
        <v>3</v>
      </c>
      <c r="B212" s="179" t="s">
        <v>353</v>
      </c>
      <c r="C212" s="286"/>
      <c r="D212" s="177"/>
      <c r="E212" s="178" t="s">
        <v>1</v>
      </c>
      <c r="F212" s="178"/>
      <c r="I212" s="91"/>
      <c r="J212" s="78"/>
      <c r="K212" s="78"/>
      <c r="L212" s="91"/>
    </row>
    <row r="213" spans="1:12" ht="29.25" x14ac:dyDescent="0.25">
      <c r="A213" s="286" t="s">
        <v>354</v>
      </c>
      <c r="B213" s="13" t="s">
        <v>355</v>
      </c>
      <c r="C213" s="286" t="s">
        <v>115</v>
      </c>
      <c r="D213" s="177">
        <v>247.32</v>
      </c>
      <c r="E213" s="178">
        <v>36641</v>
      </c>
      <c r="F213" s="178">
        <f>ROUND(D213*E213,0)</f>
        <v>9062052</v>
      </c>
      <c r="I213" s="91"/>
      <c r="J213" s="78"/>
      <c r="K213" s="78"/>
      <c r="L213" s="91"/>
    </row>
    <row r="214" spans="1:12" x14ac:dyDescent="0.25">
      <c r="A214" s="286">
        <v>4</v>
      </c>
      <c r="B214" s="179" t="s">
        <v>356</v>
      </c>
      <c r="C214" s="286"/>
      <c r="D214" s="177"/>
      <c r="E214" s="178" t="s">
        <v>1</v>
      </c>
      <c r="F214" s="178"/>
      <c r="I214" s="91"/>
      <c r="J214" s="78"/>
      <c r="K214" s="78"/>
      <c r="L214" s="91"/>
    </row>
    <row r="215" spans="1:12" ht="29.25" x14ac:dyDescent="0.25">
      <c r="A215" s="286" t="s">
        <v>357</v>
      </c>
      <c r="B215" s="13" t="s">
        <v>358</v>
      </c>
      <c r="C215" s="286" t="s">
        <v>115</v>
      </c>
      <c r="D215" s="177">
        <v>392.04</v>
      </c>
      <c r="E215" s="178">
        <v>30196</v>
      </c>
      <c r="F215" s="178">
        <f>ROUND(D215*E215,0)</f>
        <v>11838040</v>
      </c>
      <c r="I215" s="91"/>
      <c r="J215" s="78"/>
      <c r="K215" s="78"/>
      <c r="L215" s="91"/>
    </row>
    <row r="216" spans="1:12" ht="29.25" x14ac:dyDescent="0.25">
      <c r="A216" s="286" t="s">
        <v>543</v>
      </c>
      <c r="B216" s="13" t="s">
        <v>601</v>
      </c>
      <c r="C216" s="286" t="s">
        <v>115</v>
      </c>
      <c r="D216" s="177">
        <v>196.02</v>
      </c>
      <c r="E216" s="178">
        <v>39420</v>
      </c>
      <c r="F216" s="178">
        <f>ROUND(D216*E216,0)</f>
        <v>7727108</v>
      </c>
      <c r="I216" s="91"/>
      <c r="J216" s="78"/>
      <c r="K216" s="78"/>
      <c r="L216" s="91"/>
    </row>
    <row r="217" spans="1:12" x14ac:dyDescent="0.25">
      <c r="A217" s="286" t="s">
        <v>602</v>
      </c>
      <c r="B217" s="13" t="s">
        <v>603</v>
      </c>
      <c r="C217" s="286" t="s">
        <v>20</v>
      </c>
      <c r="D217" s="180">
        <v>455.4</v>
      </c>
      <c r="E217" s="178">
        <v>18028</v>
      </c>
      <c r="F217" s="178">
        <f>ROUND(D217*E217,0)</f>
        <v>8209951</v>
      </c>
      <c r="I217" s="91"/>
      <c r="J217" s="78"/>
      <c r="K217" s="78"/>
      <c r="L217" s="91"/>
    </row>
    <row r="218" spans="1:12" x14ac:dyDescent="0.25">
      <c r="A218" s="286">
        <v>5</v>
      </c>
      <c r="B218" s="179" t="s">
        <v>361</v>
      </c>
      <c r="C218" s="286"/>
      <c r="D218" s="177"/>
      <c r="E218" s="178" t="s">
        <v>1</v>
      </c>
      <c r="F218" s="178"/>
      <c r="I218" s="91"/>
      <c r="J218" s="78"/>
      <c r="K218" s="78"/>
      <c r="L218" s="91"/>
    </row>
    <row r="219" spans="1:12" ht="29.25" x14ac:dyDescent="0.25">
      <c r="A219" s="286" t="s">
        <v>362</v>
      </c>
      <c r="B219" s="13" t="s">
        <v>363</v>
      </c>
      <c r="C219" s="286" t="s">
        <v>115</v>
      </c>
      <c r="D219" s="177">
        <v>363.73</v>
      </c>
      <c r="E219" s="178">
        <v>24785</v>
      </c>
      <c r="F219" s="178">
        <f>ROUND(D219*E219,0)</f>
        <v>9015048</v>
      </c>
      <c r="I219" s="91"/>
      <c r="J219" s="78"/>
      <c r="K219" s="78"/>
      <c r="L219" s="91"/>
    </row>
    <row r="220" spans="1:12" ht="29.25" x14ac:dyDescent="0.25">
      <c r="A220" s="286" t="s">
        <v>364</v>
      </c>
      <c r="B220" s="13" t="s">
        <v>365</v>
      </c>
      <c r="C220" s="286" t="s">
        <v>115</v>
      </c>
      <c r="D220" s="177">
        <v>65.34</v>
      </c>
      <c r="E220" s="178">
        <v>106445</v>
      </c>
      <c r="F220" s="178">
        <f>ROUND(D220*E220,0)</f>
        <v>6955116</v>
      </c>
      <c r="I220" s="91"/>
      <c r="J220" s="78"/>
      <c r="K220" s="78"/>
      <c r="L220" s="91"/>
    </row>
    <row r="221" spans="1:12" ht="30" x14ac:dyDescent="0.25">
      <c r="A221" s="286">
        <v>6</v>
      </c>
      <c r="B221" s="179" t="s">
        <v>366</v>
      </c>
      <c r="C221" s="286"/>
      <c r="D221" s="177"/>
      <c r="E221" s="178" t="s">
        <v>1</v>
      </c>
      <c r="F221" s="178"/>
      <c r="I221" s="91"/>
      <c r="J221" s="78"/>
      <c r="K221" s="78"/>
      <c r="L221" s="91"/>
    </row>
    <row r="222" spans="1:12" x14ac:dyDescent="0.25">
      <c r="A222" s="286" t="s">
        <v>367</v>
      </c>
      <c r="B222" s="13" t="s">
        <v>604</v>
      </c>
      <c r="C222" s="286" t="s">
        <v>115</v>
      </c>
      <c r="D222" s="177">
        <v>2.2000000000000002</v>
      </c>
      <c r="E222" s="178">
        <v>99425</v>
      </c>
      <c r="F222" s="178">
        <f>ROUND(D222*E222,0)</f>
        <v>218735</v>
      </c>
      <c r="I222" s="91"/>
      <c r="J222" s="78"/>
      <c r="K222" s="78"/>
      <c r="L222" s="91"/>
    </row>
    <row r="223" spans="1:12" ht="29.25" x14ac:dyDescent="0.25">
      <c r="A223" s="286" t="s">
        <v>547</v>
      </c>
      <c r="B223" s="13" t="s">
        <v>605</v>
      </c>
      <c r="C223" s="286" t="s">
        <v>115</v>
      </c>
      <c r="D223" s="177">
        <v>43.56</v>
      </c>
      <c r="E223" s="178">
        <v>190032</v>
      </c>
      <c r="F223" s="178">
        <f>ROUND(D223*E223,0)</f>
        <v>8277794</v>
      </c>
      <c r="I223" s="91"/>
      <c r="J223" s="78"/>
      <c r="K223" s="78"/>
      <c r="L223" s="91"/>
    </row>
    <row r="224" spans="1:12" ht="29.25" x14ac:dyDescent="0.25">
      <c r="A224" s="286" t="s">
        <v>467</v>
      </c>
      <c r="B224" s="13" t="s">
        <v>606</v>
      </c>
      <c r="C224" s="286" t="s">
        <v>115</v>
      </c>
      <c r="D224" s="177">
        <v>88.46</v>
      </c>
      <c r="E224" s="178">
        <v>109617</v>
      </c>
      <c r="F224" s="178">
        <f>ROUND(D224*E224,0)</f>
        <v>9696720</v>
      </c>
      <c r="I224" s="91"/>
      <c r="J224" s="78"/>
      <c r="K224" s="78"/>
      <c r="L224" s="91"/>
    </row>
    <row r="225" spans="1:12" x14ac:dyDescent="0.25">
      <c r="A225" s="286">
        <v>7</v>
      </c>
      <c r="B225" s="179" t="s">
        <v>371</v>
      </c>
      <c r="C225" s="286"/>
      <c r="D225" s="177"/>
      <c r="E225" s="178" t="s">
        <v>1</v>
      </c>
      <c r="F225" s="178"/>
      <c r="I225" s="91"/>
      <c r="J225" s="78"/>
      <c r="K225" s="78"/>
      <c r="L225" s="91"/>
    </row>
    <row r="226" spans="1:12" ht="43.5" x14ac:dyDescent="0.25">
      <c r="A226" s="286">
        <v>7.2</v>
      </c>
      <c r="B226" s="13" t="s">
        <v>607</v>
      </c>
      <c r="C226" s="286" t="s">
        <v>18</v>
      </c>
      <c r="D226" s="177">
        <v>99</v>
      </c>
      <c r="E226" s="178">
        <v>144735</v>
      </c>
      <c r="F226" s="178">
        <f>ROUND(D226*E226,0)</f>
        <v>14328765</v>
      </c>
      <c r="I226" s="91"/>
      <c r="J226" s="78"/>
      <c r="K226" s="78"/>
      <c r="L226" s="91"/>
    </row>
    <row r="227" spans="1:12" ht="43.5" x14ac:dyDescent="0.25">
      <c r="A227" s="286">
        <v>7.3</v>
      </c>
      <c r="B227" s="13" t="s">
        <v>880</v>
      </c>
      <c r="C227" s="286" t="s">
        <v>18</v>
      </c>
      <c r="D227" s="177">
        <v>24</v>
      </c>
      <c r="E227" s="178">
        <v>22867</v>
      </c>
      <c r="F227" s="178">
        <f>+D227*E227</f>
        <v>548808</v>
      </c>
      <c r="I227" s="91"/>
      <c r="J227" s="78"/>
      <c r="K227" s="78"/>
      <c r="L227" s="91"/>
    </row>
    <row r="228" spans="1:12" x14ac:dyDescent="0.25">
      <c r="A228" s="286" t="s">
        <v>376</v>
      </c>
      <c r="B228" s="13" t="s">
        <v>608</v>
      </c>
      <c r="C228" s="286" t="s">
        <v>125</v>
      </c>
      <c r="D228" s="177">
        <v>8</v>
      </c>
      <c r="E228" s="178">
        <v>112191</v>
      </c>
      <c r="F228" s="178">
        <f t="shared" ref="F228:F232" si="4">ROUND(D228*E228,0)</f>
        <v>897528</v>
      </c>
      <c r="I228" s="91"/>
      <c r="J228" s="78"/>
      <c r="K228" s="78"/>
      <c r="L228" s="91"/>
    </row>
    <row r="229" spans="1:12" ht="29.25" x14ac:dyDescent="0.25">
      <c r="A229" s="286" t="s">
        <v>380</v>
      </c>
      <c r="B229" s="13" t="s">
        <v>609</v>
      </c>
      <c r="C229" s="286" t="s">
        <v>18</v>
      </c>
      <c r="D229" s="177">
        <v>4.4000000000000004</v>
      </c>
      <c r="E229" s="178">
        <v>1156665</v>
      </c>
      <c r="F229" s="178">
        <f t="shared" si="4"/>
        <v>5089326</v>
      </c>
      <c r="I229" s="91"/>
      <c r="J229" s="78"/>
      <c r="K229" s="78"/>
      <c r="L229" s="91"/>
    </row>
    <row r="230" spans="1:12" ht="29.25" x14ac:dyDescent="0.25">
      <c r="A230" s="286" t="s">
        <v>382</v>
      </c>
      <c r="B230" s="13" t="s">
        <v>610</v>
      </c>
      <c r="C230" s="286" t="s">
        <v>125</v>
      </c>
      <c r="D230" s="177">
        <v>3</v>
      </c>
      <c r="E230" s="178">
        <v>864175</v>
      </c>
      <c r="F230" s="178">
        <f t="shared" si="4"/>
        <v>2592525</v>
      </c>
      <c r="I230" s="91"/>
      <c r="J230" s="78"/>
      <c r="K230" s="78"/>
      <c r="L230" s="91"/>
    </row>
    <row r="231" spans="1:12" ht="29.25" x14ac:dyDescent="0.25">
      <c r="A231" s="286" t="s">
        <v>384</v>
      </c>
      <c r="B231" s="13" t="s">
        <v>556</v>
      </c>
      <c r="C231" s="286" t="s">
        <v>125</v>
      </c>
      <c r="D231" s="177">
        <v>2</v>
      </c>
      <c r="E231" s="178">
        <v>574732</v>
      </c>
      <c r="F231" s="178">
        <f t="shared" si="4"/>
        <v>1149464</v>
      </c>
      <c r="I231" s="91"/>
      <c r="J231" s="78"/>
      <c r="K231" s="78"/>
      <c r="L231" s="91"/>
    </row>
    <row r="232" spans="1:12" ht="43.5" x14ac:dyDescent="0.25">
      <c r="A232" s="286" t="s">
        <v>390</v>
      </c>
      <c r="B232" s="13" t="s">
        <v>611</v>
      </c>
      <c r="C232" s="286" t="s">
        <v>125</v>
      </c>
      <c r="D232" s="177">
        <v>2</v>
      </c>
      <c r="E232" s="178">
        <v>779473</v>
      </c>
      <c r="F232" s="178">
        <f t="shared" si="4"/>
        <v>1558946</v>
      </c>
      <c r="I232" s="91"/>
    </row>
    <row r="233" spans="1:12" x14ac:dyDescent="0.25">
      <c r="A233" s="286">
        <v>8</v>
      </c>
      <c r="B233" s="179" t="s">
        <v>394</v>
      </c>
      <c r="C233" s="286"/>
      <c r="D233" s="177"/>
      <c r="E233" s="178" t="s">
        <v>1</v>
      </c>
      <c r="F233" s="178"/>
      <c r="I233" s="91"/>
    </row>
    <row r="234" spans="1:12" ht="29.25" x14ac:dyDescent="0.25">
      <c r="A234" s="286" t="s">
        <v>395</v>
      </c>
      <c r="B234" s="13" t="s">
        <v>396</v>
      </c>
      <c r="C234" s="286" t="s">
        <v>18</v>
      </c>
      <c r="D234" s="177">
        <v>213</v>
      </c>
      <c r="E234" s="178">
        <v>14248</v>
      </c>
      <c r="F234" s="178">
        <f>ROUND(D234*E234,0)</f>
        <v>3034824</v>
      </c>
      <c r="I234" s="91"/>
    </row>
    <row r="235" spans="1:12" ht="57" x14ac:dyDescent="0.25">
      <c r="A235" s="286" t="s">
        <v>397</v>
      </c>
      <c r="B235" s="9" t="s">
        <v>398</v>
      </c>
      <c r="C235" s="286" t="s">
        <v>115</v>
      </c>
      <c r="D235" s="177">
        <v>39.200000000000003</v>
      </c>
      <c r="E235" s="178">
        <v>967889</v>
      </c>
      <c r="F235" s="178">
        <f>ROUND(D235*E235,0)</f>
        <v>37941249</v>
      </c>
      <c r="I235" s="91"/>
    </row>
    <row r="236" spans="1:12" ht="29.25" x14ac:dyDescent="0.25">
      <c r="A236" s="286">
        <v>8.3000000000000007</v>
      </c>
      <c r="B236" s="181" t="s">
        <v>400</v>
      </c>
      <c r="C236" s="286" t="s">
        <v>115</v>
      </c>
      <c r="D236" s="177">
        <v>2.2000000000000002</v>
      </c>
      <c r="E236" s="178">
        <v>761635</v>
      </c>
      <c r="F236" s="178">
        <f>ROUND(D236*E236,0)</f>
        <v>1675597</v>
      </c>
      <c r="I236" s="91"/>
    </row>
    <row r="237" spans="1:12" ht="29.25" x14ac:dyDescent="0.25">
      <c r="A237" s="286">
        <v>8.4</v>
      </c>
      <c r="B237" s="13" t="s">
        <v>612</v>
      </c>
      <c r="C237" s="286" t="s">
        <v>20</v>
      </c>
      <c r="D237" s="177">
        <v>506</v>
      </c>
      <c r="E237" s="178">
        <v>12189</v>
      </c>
      <c r="F237" s="178">
        <f>ROUND(D237*E237,0)</f>
        <v>6167634</v>
      </c>
      <c r="I237" s="91"/>
    </row>
    <row r="238" spans="1:12" x14ac:dyDescent="0.25">
      <c r="A238" s="219"/>
      <c r="B238" s="18" t="s">
        <v>56</v>
      </c>
      <c r="C238" s="54"/>
      <c r="D238" s="130"/>
      <c r="E238" s="28"/>
      <c r="F238" s="79">
        <f>SUM(F205:F237)</f>
        <v>157456829</v>
      </c>
    </row>
    <row r="239" spans="1:12" x14ac:dyDescent="0.25">
      <c r="A239" s="19"/>
      <c r="B239" s="19" t="s">
        <v>60</v>
      </c>
      <c r="C239" s="19"/>
      <c r="D239" s="19"/>
      <c r="E239" s="19"/>
      <c r="F239" s="29">
        <f>ROUND(F238/1.3495,0)</f>
        <v>116677902</v>
      </c>
    </row>
    <row r="240" spans="1:12" x14ac:dyDescent="0.25">
      <c r="A240" s="19"/>
      <c r="B240" s="19" t="s">
        <v>61</v>
      </c>
      <c r="C240" s="131">
        <v>0.24</v>
      </c>
      <c r="D240" s="19"/>
      <c r="E240" s="19"/>
      <c r="F240" s="29">
        <f>ROUND(F239*C240,0)</f>
        <v>28002696</v>
      </c>
    </row>
    <row r="241" spans="1:9" x14ac:dyDescent="0.25">
      <c r="A241" s="19"/>
      <c r="B241" s="19" t="s">
        <v>57</v>
      </c>
      <c r="C241" s="131">
        <v>0.05</v>
      </c>
      <c r="D241" s="19"/>
      <c r="E241" s="19"/>
      <c r="F241" s="29">
        <f>ROUND(F239*C241,0)</f>
        <v>5833895</v>
      </c>
    </row>
    <row r="242" spans="1:9" x14ac:dyDescent="0.25">
      <c r="A242" s="19"/>
      <c r="B242" s="19" t="s">
        <v>62</v>
      </c>
      <c r="C242" s="131">
        <v>0.05</v>
      </c>
      <c r="D242" s="19"/>
      <c r="E242" s="19"/>
      <c r="F242" s="29">
        <f>ROUND(F239*C242,0)</f>
        <v>5833895</v>
      </c>
    </row>
    <row r="243" spans="1:9" x14ac:dyDescent="0.25">
      <c r="A243" s="19"/>
      <c r="B243" s="132" t="s">
        <v>63</v>
      </c>
      <c r="C243" s="133">
        <v>0.19</v>
      </c>
      <c r="D243" s="120"/>
      <c r="E243" s="120"/>
      <c r="F243" s="35">
        <f>ROUND(F242*19%,0)</f>
        <v>1108440</v>
      </c>
    </row>
    <row r="244" spans="1:9" x14ac:dyDescent="0.25">
      <c r="A244" s="19"/>
      <c r="B244" s="18" t="s">
        <v>56</v>
      </c>
      <c r="C244" s="19"/>
      <c r="D244" s="19"/>
      <c r="E244" s="19"/>
      <c r="F244" s="30">
        <f>SUM(F239:F243)</f>
        <v>157456828</v>
      </c>
    </row>
    <row r="245" spans="1:9" x14ac:dyDescent="0.25">
      <c r="A245" s="33"/>
      <c r="B245" s="335"/>
      <c r="C245" s="33"/>
      <c r="D245" s="33"/>
      <c r="E245" s="33"/>
      <c r="F245" s="122"/>
    </row>
    <row r="246" spans="1:9" x14ac:dyDescent="0.25">
      <c r="A246" s="33"/>
      <c r="B246" s="335"/>
      <c r="C246" s="33"/>
      <c r="D246" s="33"/>
      <c r="E246" s="33"/>
      <c r="F246" s="122"/>
    </row>
    <row r="247" spans="1:9" ht="15.75" thickBot="1" x14ac:dyDescent="0.3"/>
    <row r="248" spans="1:9" ht="37.5" customHeight="1" thickBot="1" x14ac:dyDescent="0.3">
      <c r="A248" s="494" t="s">
        <v>1023</v>
      </c>
      <c r="B248" s="495"/>
      <c r="C248" s="495"/>
      <c r="D248" s="495"/>
      <c r="E248" s="495"/>
      <c r="F248" s="508"/>
    </row>
    <row r="249" spans="1:9" x14ac:dyDescent="0.25">
      <c r="A249" s="512" t="s">
        <v>1</v>
      </c>
      <c r="B249" s="513"/>
      <c r="C249" s="513"/>
      <c r="D249" s="513"/>
      <c r="E249" s="513"/>
      <c r="F249" s="514"/>
    </row>
    <row r="250" spans="1:9" x14ac:dyDescent="0.25">
      <c r="A250" s="54" t="s">
        <v>421</v>
      </c>
      <c r="B250" s="54" t="s">
        <v>422</v>
      </c>
      <c r="C250" s="54" t="s">
        <v>423</v>
      </c>
      <c r="D250" s="54" t="s">
        <v>13</v>
      </c>
      <c r="E250" s="54" t="s">
        <v>424</v>
      </c>
      <c r="F250" s="54" t="s">
        <v>425</v>
      </c>
    </row>
    <row r="251" spans="1:9" x14ac:dyDescent="0.25">
      <c r="A251" s="54"/>
      <c r="B251" s="54"/>
      <c r="C251" s="54"/>
      <c r="D251" s="54"/>
      <c r="E251" s="54"/>
      <c r="F251" s="54"/>
    </row>
    <row r="252" spans="1:9" x14ac:dyDescent="0.25">
      <c r="A252" s="286" t="s">
        <v>338</v>
      </c>
      <c r="B252" s="11" t="s">
        <v>16</v>
      </c>
      <c r="C252" s="286"/>
      <c r="D252" s="177"/>
      <c r="E252" s="178"/>
      <c r="F252" s="178"/>
    </row>
    <row r="253" spans="1:9" ht="43.5" x14ac:dyDescent="0.25">
      <c r="A253" s="286" t="s">
        <v>339</v>
      </c>
      <c r="B253" s="13" t="s">
        <v>599</v>
      </c>
      <c r="C253" s="286" t="s">
        <v>341</v>
      </c>
      <c r="D253" s="177">
        <v>100</v>
      </c>
      <c r="E253" s="178">
        <v>7564</v>
      </c>
      <c r="F253" s="178">
        <f>ROUND(D253*E253,0)</f>
        <v>756400</v>
      </c>
      <c r="I253" s="80"/>
    </row>
    <row r="254" spans="1:9" ht="43.5" x14ac:dyDescent="0.25">
      <c r="A254" s="286" t="s">
        <v>342</v>
      </c>
      <c r="B254" s="13" t="s">
        <v>600</v>
      </c>
      <c r="C254" s="286" t="s">
        <v>341</v>
      </c>
      <c r="D254" s="177">
        <v>192</v>
      </c>
      <c r="E254" s="178">
        <v>12418</v>
      </c>
      <c r="F254" s="178">
        <f>ROUND(D254*E254,0)</f>
        <v>2384256</v>
      </c>
      <c r="I254" s="80"/>
    </row>
    <row r="255" spans="1:9" ht="43.5" x14ac:dyDescent="0.25">
      <c r="A255" s="286" t="s">
        <v>344</v>
      </c>
      <c r="B255" s="17" t="s">
        <v>591</v>
      </c>
      <c r="C255" s="286" t="s">
        <v>23</v>
      </c>
      <c r="D255" s="177">
        <v>4</v>
      </c>
      <c r="E255" s="178">
        <v>243668</v>
      </c>
      <c r="F255" s="178">
        <f>ROUND(D255*E255,0)</f>
        <v>974672</v>
      </c>
      <c r="I255" s="80"/>
    </row>
    <row r="256" spans="1:9" x14ac:dyDescent="0.25">
      <c r="A256" s="286" t="s">
        <v>405</v>
      </c>
      <c r="B256" s="19" t="s">
        <v>346</v>
      </c>
      <c r="C256" s="286" t="s">
        <v>23</v>
      </c>
      <c r="D256" s="177">
        <v>1</v>
      </c>
      <c r="E256" s="178">
        <v>704170</v>
      </c>
      <c r="F256" s="178">
        <f>ROUND(D256*E256,0)</f>
        <v>704170</v>
      </c>
      <c r="I256" s="80"/>
    </row>
    <row r="257" spans="1:9" x14ac:dyDescent="0.25">
      <c r="A257" s="286">
        <v>2</v>
      </c>
      <c r="B257" s="11" t="s">
        <v>347</v>
      </c>
      <c r="C257" s="286"/>
      <c r="D257" s="177"/>
      <c r="E257" s="178" t="s">
        <v>1</v>
      </c>
      <c r="F257" s="178"/>
      <c r="I257" s="80"/>
    </row>
    <row r="258" spans="1:9" x14ac:dyDescent="0.25">
      <c r="A258" s="286" t="s">
        <v>348</v>
      </c>
      <c r="B258" s="19" t="s">
        <v>349</v>
      </c>
      <c r="C258" s="286" t="s">
        <v>115</v>
      </c>
      <c r="D258" s="177">
        <v>28.08</v>
      </c>
      <c r="E258" s="178">
        <v>141463</v>
      </c>
      <c r="F258" s="178">
        <f>ROUND(D258*E258,0)</f>
        <v>3972281</v>
      </c>
      <c r="I258" s="80"/>
    </row>
    <row r="259" spans="1:9" ht="29.25" x14ac:dyDescent="0.25">
      <c r="A259" s="286">
        <v>2.2000000000000002</v>
      </c>
      <c r="B259" s="13" t="s">
        <v>569</v>
      </c>
      <c r="C259" s="286" t="s">
        <v>115</v>
      </c>
      <c r="D259" s="177">
        <v>1.2</v>
      </c>
      <c r="E259" s="178">
        <v>114584</v>
      </c>
      <c r="F259" s="178">
        <f>ROUND(D259*E259,0)</f>
        <v>137501</v>
      </c>
      <c r="I259" s="80"/>
    </row>
    <row r="260" spans="1:9" ht="29.25" x14ac:dyDescent="0.25">
      <c r="A260" s="286">
        <v>2.2999999999999998</v>
      </c>
      <c r="B260" s="13" t="s">
        <v>464</v>
      </c>
      <c r="C260" s="286" t="s">
        <v>115</v>
      </c>
      <c r="D260" s="177">
        <v>1</v>
      </c>
      <c r="E260" s="178">
        <v>107656</v>
      </c>
      <c r="F260" s="178">
        <f>ROUND(D260*E260,0)</f>
        <v>107656</v>
      </c>
      <c r="I260" s="80"/>
    </row>
    <row r="261" spans="1:9" x14ac:dyDescent="0.25">
      <c r="A261" s="286">
        <v>3</v>
      </c>
      <c r="B261" s="179" t="s">
        <v>353</v>
      </c>
      <c r="C261" s="286"/>
      <c r="D261" s="177"/>
      <c r="E261" s="178" t="s">
        <v>1</v>
      </c>
      <c r="F261" s="178"/>
      <c r="I261" s="80"/>
    </row>
    <row r="262" spans="1:9" ht="29.25" x14ac:dyDescent="0.25">
      <c r="A262" s="286" t="s">
        <v>354</v>
      </c>
      <c r="B262" s="13" t="s">
        <v>355</v>
      </c>
      <c r="C262" s="286" t="s">
        <v>115</v>
      </c>
      <c r="D262" s="177">
        <v>164.65</v>
      </c>
      <c r="E262" s="178">
        <v>36641</v>
      </c>
      <c r="F262" s="178">
        <f>ROUND(D262*E262,0)</f>
        <v>6032941</v>
      </c>
      <c r="I262" s="80"/>
    </row>
    <row r="263" spans="1:9" x14ac:dyDescent="0.25">
      <c r="A263" s="286">
        <v>4</v>
      </c>
      <c r="B263" s="179" t="s">
        <v>356</v>
      </c>
      <c r="C263" s="286"/>
      <c r="D263" s="177"/>
      <c r="E263" s="178" t="s">
        <v>1</v>
      </c>
      <c r="F263" s="178"/>
      <c r="I263" s="80"/>
    </row>
    <row r="264" spans="1:9" ht="29.25" x14ac:dyDescent="0.25">
      <c r="A264" s="286" t="s">
        <v>357</v>
      </c>
      <c r="B264" s="13" t="s">
        <v>358</v>
      </c>
      <c r="C264" s="286" t="s">
        <v>115</v>
      </c>
      <c r="D264" s="177">
        <v>162.36000000000001</v>
      </c>
      <c r="E264" s="178">
        <v>30196</v>
      </c>
      <c r="F264" s="178">
        <f>ROUND(D264*E264,0)</f>
        <v>4902623</v>
      </c>
      <c r="I264" s="80"/>
    </row>
    <row r="265" spans="1:9" ht="29.25" x14ac:dyDescent="0.25">
      <c r="A265" s="286">
        <v>4.2</v>
      </c>
      <c r="B265" s="13" t="s">
        <v>359</v>
      </c>
      <c r="C265" s="286" t="s">
        <v>115</v>
      </c>
      <c r="D265" s="177">
        <v>28.08</v>
      </c>
      <c r="E265" s="178">
        <v>35903</v>
      </c>
      <c r="F265" s="178">
        <f>ROUND(D265*E265,0)</f>
        <v>1008156</v>
      </c>
      <c r="I265" s="80"/>
    </row>
    <row r="266" spans="1:9" x14ac:dyDescent="0.25">
      <c r="A266" s="286" t="s">
        <v>602</v>
      </c>
      <c r="B266" s="13" t="s">
        <v>407</v>
      </c>
      <c r="C266" s="286" t="s">
        <v>18</v>
      </c>
      <c r="D266" s="177">
        <v>60</v>
      </c>
      <c r="E266" s="178">
        <v>36641</v>
      </c>
      <c r="F266" s="178">
        <f>ROUND(D266*E266,0)</f>
        <v>2198460</v>
      </c>
      <c r="I266" s="80"/>
    </row>
    <row r="267" spans="1:9" x14ac:dyDescent="0.25">
      <c r="A267" s="286">
        <v>5</v>
      </c>
      <c r="B267" s="179" t="s">
        <v>361</v>
      </c>
      <c r="C267" s="286"/>
      <c r="D267" s="177"/>
      <c r="E267" s="178" t="s">
        <v>1</v>
      </c>
      <c r="F267" s="178"/>
      <c r="I267" s="80"/>
    </row>
    <row r="268" spans="1:9" ht="29.25" x14ac:dyDescent="0.25">
      <c r="A268" s="286" t="s">
        <v>362</v>
      </c>
      <c r="B268" s="13" t="s">
        <v>363</v>
      </c>
      <c r="C268" s="286" t="s">
        <v>115</v>
      </c>
      <c r="D268" s="177">
        <v>87.12</v>
      </c>
      <c r="E268" s="178">
        <v>24785</v>
      </c>
      <c r="F268" s="178">
        <f>ROUND(D268*E268,0)</f>
        <v>2159269</v>
      </c>
      <c r="I268" s="80"/>
    </row>
    <row r="269" spans="1:9" ht="29.25" x14ac:dyDescent="0.25">
      <c r="A269" s="286" t="s">
        <v>364</v>
      </c>
      <c r="B269" s="13" t="s">
        <v>365</v>
      </c>
      <c r="C269" s="286" t="s">
        <v>115</v>
      </c>
      <c r="D269" s="177">
        <v>35.28</v>
      </c>
      <c r="E269" s="178">
        <v>106445</v>
      </c>
      <c r="F269" s="178">
        <f>ROUND(D269*E269,0)</f>
        <v>3755380</v>
      </c>
      <c r="I269" s="80"/>
    </row>
    <row r="270" spans="1:9" ht="30" x14ac:dyDescent="0.25">
      <c r="A270" s="286">
        <v>6</v>
      </c>
      <c r="B270" s="179" t="s">
        <v>366</v>
      </c>
      <c r="C270" s="286"/>
      <c r="D270" s="177"/>
      <c r="E270" s="178"/>
      <c r="F270" s="178"/>
      <c r="I270" s="80"/>
    </row>
    <row r="271" spans="1:9" x14ac:dyDescent="0.25">
      <c r="A271" s="286" t="s">
        <v>367</v>
      </c>
      <c r="B271" s="13" t="s">
        <v>604</v>
      </c>
      <c r="C271" s="286" t="s">
        <v>115</v>
      </c>
      <c r="D271" s="177">
        <v>1</v>
      </c>
      <c r="E271" s="178">
        <v>99425</v>
      </c>
      <c r="F271" s="178">
        <f>ROUND(D271*E271,0)</f>
        <v>99425</v>
      </c>
      <c r="I271" s="80"/>
    </row>
    <row r="272" spans="1:9" ht="57.75" x14ac:dyDescent="0.25">
      <c r="A272" s="286">
        <v>6.2</v>
      </c>
      <c r="B272" s="13" t="s">
        <v>613</v>
      </c>
      <c r="C272" s="286" t="s">
        <v>115</v>
      </c>
      <c r="D272" s="177">
        <v>58.1</v>
      </c>
      <c r="E272" s="178">
        <v>190032</v>
      </c>
      <c r="F272" s="178">
        <f>ROUND(D272*E272,0)</f>
        <v>11040859</v>
      </c>
      <c r="I272" s="80"/>
    </row>
    <row r="273" spans="1:9" ht="29.25" x14ac:dyDescent="0.25">
      <c r="A273" s="286">
        <v>6.3</v>
      </c>
      <c r="B273" s="13" t="s">
        <v>468</v>
      </c>
      <c r="C273" s="286" t="s">
        <v>115</v>
      </c>
      <c r="D273" s="177">
        <v>39.96</v>
      </c>
      <c r="E273" s="178">
        <v>100848</v>
      </c>
      <c r="F273" s="178">
        <f>ROUND(D273*E273,0)</f>
        <v>4029886</v>
      </c>
      <c r="I273" s="80"/>
    </row>
    <row r="274" spans="1:9" x14ac:dyDescent="0.25">
      <c r="A274" s="286">
        <v>7</v>
      </c>
      <c r="B274" s="179" t="s">
        <v>371</v>
      </c>
      <c r="C274" s="286"/>
      <c r="D274" s="177"/>
      <c r="E274" s="178"/>
      <c r="F274" s="178"/>
      <c r="I274" s="80"/>
    </row>
    <row r="275" spans="1:9" ht="43.5" x14ac:dyDescent="0.25">
      <c r="A275" s="286" t="s">
        <v>372</v>
      </c>
      <c r="B275" s="13" t="s">
        <v>614</v>
      </c>
      <c r="C275" s="286" t="s">
        <v>18</v>
      </c>
      <c r="D275" s="177">
        <v>114</v>
      </c>
      <c r="E275" s="178">
        <v>13960</v>
      </c>
      <c r="F275" s="178">
        <f>ROUND(D275*E275,0)</f>
        <v>1591440</v>
      </c>
      <c r="I275" s="80"/>
    </row>
    <row r="276" spans="1:9" ht="43.5" x14ac:dyDescent="0.25">
      <c r="A276" s="286">
        <v>7.2</v>
      </c>
      <c r="B276" s="13" t="s">
        <v>615</v>
      </c>
      <c r="C276" s="286" t="s">
        <v>18</v>
      </c>
      <c r="D276" s="177">
        <v>90</v>
      </c>
      <c r="E276" s="178">
        <v>32014</v>
      </c>
      <c r="F276" s="178">
        <f>ROUND(D276*E276,0)</f>
        <v>2881260</v>
      </c>
      <c r="I276" s="80"/>
    </row>
    <row r="277" spans="1:9" x14ac:dyDescent="0.25">
      <c r="A277" s="286" t="s">
        <v>376</v>
      </c>
      <c r="B277" s="13" t="s">
        <v>573</v>
      </c>
      <c r="C277" s="286" t="s">
        <v>125</v>
      </c>
      <c r="D277" s="177">
        <v>2</v>
      </c>
      <c r="E277" s="178">
        <v>103880</v>
      </c>
      <c r="F277" s="178">
        <f t="shared" ref="F277:F284" si="5">ROUND(D277*E277,0)</f>
        <v>207760</v>
      </c>
      <c r="I277" s="80"/>
    </row>
    <row r="278" spans="1:9" x14ac:dyDescent="0.25">
      <c r="A278" s="286" t="s">
        <v>378</v>
      </c>
      <c r="B278" s="13" t="s">
        <v>597</v>
      </c>
      <c r="C278" s="286" t="s">
        <v>23</v>
      </c>
      <c r="D278" s="177">
        <v>10</v>
      </c>
      <c r="E278" s="178">
        <v>69353</v>
      </c>
      <c r="F278" s="178">
        <f t="shared" si="5"/>
        <v>693530</v>
      </c>
      <c r="I278" s="80"/>
    </row>
    <row r="279" spans="1:9" ht="29.25" x14ac:dyDescent="0.25">
      <c r="A279" s="286" t="s">
        <v>380</v>
      </c>
      <c r="B279" s="13" t="s">
        <v>381</v>
      </c>
      <c r="C279" s="286" t="s">
        <v>18</v>
      </c>
      <c r="D279" s="177">
        <v>2.2999999999999998</v>
      </c>
      <c r="E279" s="178">
        <v>721405</v>
      </c>
      <c r="F279" s="178">
        <f t="shared" si="5"/>
        <v>1659232</v>
      </c>
      <c r="I279" s="80"/>
    </row>
    <row r="280" spans="1:9" ht="29.25" x14ac:dyDescent="0.25">
      <c r="A280" s="286" t="s">
        <v>382</v>
      </c>
      <c r="B280" s="13" t="s">
        <v>616</v>
      </c>
      <c r="C280" s="286" t="s">
        <v>125</v>
      </c>
      <c r="D280" s="177">
        <v>3</v>
      </c>
      <c r="E280" s="178">
        <v>605385</v>
      </c>
      <c r="F280" s="178">
        <f t="shared" si="5"/>
        <v>1816155</v>
      </c>
      <c r="I280" s="80"/>
    </row>
    <row r="281" spans="1:9" ht="29.25" x14ac:dyDescent="0.25">
      <c r="A281" s="286" t="s">
        <v>384</v>
      </c>
      <c r="B281" s="13" t="s">
        <v>385</v>
      </c>
      <c r="C281" s="286" t="s">
        <v>125</v>
      </c>
      <c r="D281" s="177">
        <v>1</v>
      </c>
      <c r="E281" s="178">
        <v>574732</v>
      </c>
      <c r="F281" s="178">
        <f t="shared" si="5"/>
        <v>574732</v>
      </c>
      <c r="I281" s="80"/>
    </row>
    <row r="282" spans="1:9" ht="29.25" x14ac:dyDescent="0.25">
      <c r="A282" s="286" t="s">
        <v>386</v>
      </c>
      <c r="B282" s="13" t="s">
        <v>588</v>
      </c>
      <c r="C282" s="286" t="s">
        <v>23</v>
      </c>
      <c r="D282" s="177">
        <v>19</v>
      </c>
      <c r="E282" s="178">
        <v>419242</v>
      </c>
      <c r="F282" s="178">
        <f t="shared" si="5"/>
        <v>7965598</v>
      </c>
      <c r="I282" s="80"/>
    </row>
    <row r="283" spans="1:9" ht="43.5" x14ac:dyDescent="0.25">
      <c r="A283" s="286" t="s">
        <v>390</v>
      </c>
      <c r="B283" s="13" t="s">
        <v>617</v>
      </c>
      <c r="C283" s="286" t="s">
        <v>125</v>
      </c>
      <c r="D283" s="177">
        <v>1</v>
      </c>
      <c r="E283" s="178">
        <v>779473</v>
      </c>
      <c r="F283" s="178">
        <f t="shared" si="5"/>
        <v>779473</v>
      </c>
      <c r="I283" s="80"/>
    </row>
    <row r="284" spans="1:9" x14ac:dyDescent="0.25">
      <c r="A284" s="286" t="s">
        <v>392</v>
      </c>
      <c r="B284" s="13" t="s">
        <v>618</v>
      </c>
      <c r="C284" s="286" t="s">
        <v>125</v>
      </c>
      <c r="D284" s="177">
        <v>19</v>
      </c>
      <c r="E284" s="178">
        <v>66314</v>
      </c>
      <c r="F284" s="178">
        <f t="shared" si="5"/>
        <v>1259966</v>
      </c>
      <c r="I284" s="80"/>
    </row>
    <row r="285" spans="1:9" x14ac:dyDescent="0.25">
      <c r="A285" s="286">
        <v>8</v>
      </c>
      <c r="B285" s="179" t="s">
        <v>394</v>
      </c>
      <c r="C285" s="286"/>
      <c r="D285" s="177"/>
      <c r="E285" s="178" t="s">
        <v>1</v>
      </c>
      <c r="F285" s="178"/>
      <c r="I285" s="80"/>
    </row>
    <row r="286" spans="1:9" ht="29.25" x14ac:dyDescent="0.25">
      <c r="A286" s="286" t="s">
        <v>395</v>
      </c>
      <c r="B286" s="13" t="s">
        <v>396</v>
      </c>
      <c r="C286" s="286" t="s">
        <v>18</v>
      </c>
      <c r="D286" s="177">
        <v>461.2</v>
      </c>
      <c r="E286" s="178">
        <v>14248</v>
      </c>
      <c r="F286" s="178">
        <f>ROUND(D286*E286,0)</f>
        <v>6571178</v>
      </c>
      <c r="I286" s="80"/>
    </row>
    <row r="287" spans="1:9" ht="57" x14ac:dyDescent="0.25">
      <c r="A287" s="286" t="s">
        <v>397</v>
      </c>
      <c r="B287" s="9" t="s">
        <v>619</v>
      </c>
      <c r="C287" s="286" t="s">
        <v>115</v>
      </c>
      <c r="D287" s="177">
        <v>28.1</v>
      </c>
      <c r="E287" s="178">
        <v>1114387</v>
      </c>
      <c r="F287" s="178">
        <f>ROUND(D287*E287,0)</f>
        <v>31314275</v>
      </c>
      <c r="I287" s="80"/>
    </row>
    <row r="288" spans="1:9" ht="29.25" x14ac:dyDescent="0.25">
      <c r="A288" s="286">
        <v>8.3000000000000007</v>
      </c>
      <c r="B288" s="181" t="s">
        <v>400</v>
      </c>
      <c r="C288" s="286" t="s">
        <v>115</v>
      </c>
      <c r="D288" s="177">
        <v>1</v>
      </c>
      <c r="E288" s="178">
        <v>761635</v>
      </c>
      <c r="F288" s="178">
        <f>ROUND(D288*E288,0)</f>
        <v>761635</v>
      </c>
      <c r="I288" s="80"/>
    </row>
    <row r="289" spans="1:9" x14ac:dyDescent="0.25">
      <c r="A289" s="219"/>
      <c r="B289" s="18" t="s">
        <v>56</v>
      </c>
      <c r="C289" s="54"/>
      <c r="D289" s="130"/>
      <c r="E289" s="28"/>
      <c r="F289" s="79">
        <f>SUM(F253:F288)</f>
        <v>102340169</v>
      </c>
    </row>
    <row r="290" spans="1:9" x14ac:dyDescent="0.25">
      <c r="A290" s="19"/>
      <c r="B290" s="19" t="s">
        <v>60</v>
      </c>
      <c r="C290" s="19"/>
      <c r="D290" s="19"/>
      <c r="E290" s="19"/>
      <c r="F290" s="29">
        <f>ROUND(F289/1.3495,0)</f>
        <v>75835620</v>
      </c>
    </row>
    <row r="291" spans="1:9" x14ac:dyDescent="0.25">
      <c r="A291" s="19"/>
      <c r="B291" s="19" t="s">
        <v>61</v>
      </c>
      <c r="C291" s="131">
        <v>0.24</v>
      </c>
      <c r="D291" s="19"/>
      <c r="E291" s="19"/>
      <c r="F291" s="29">
        <f>ROUND(F290*C291,0)</f>
        <v>18200549</v>
      </c>
    </row>
    <row r="292" spans="1:9" x14ac:dyDescent="0.25">
      <c r="A292" s="19"/>
      <c r="B292" s="19" t="s">
        <v>57</v>
      </c>
      <c r="C292" s="131">
        <v>0.05</v>
      </c>
      <c r="D292" s="19"/>
      <c r="E292" s="19"/>
      <c r="F292" s="29">
        <f>ROUND(F290*C292,0)</f>
        <v>3791781</v>
      </c>
    </row>
    <row r="293" spans="1:9" x14ac:dyDescent="0.25">
      <c r="A293" s="19"/>
      <c r="B293" s="19" t="s">
        <v>62</v>
      </c>
      <c r="C293" s="131">
        <v>0.05</v>
      </c>
      <c r="D293" s="19"/>
      <c r="E293" s="19"/>
      <c r="F293" s="29">
        <f>ROUND(F290*C293,0)</f>
        <v>3791781</v>
      </c>
    </row>
    <row r="294" spans="1:9" x14ac:dyDescent="0.25">
      <c r="A294" s="19"/>
      <c r="B294" s="132" t="s">
        <v>63</v>
      </c>
      <c r="C294" s="133">
        <v>0.19</v>
      </c>
      <c r="D294" s="120"/>
      <c r="E294" s="120"/>
      <c r="F294" s="35">
        <f>ROUND(F293*19%,0)</f>
        <v>720438</v>
      </c>
    </row>
    <row r="295" spans="1:9" x14ac:dyDescent="0.25">
      <c r="A295" s="19"/>
      <c r="B295" s="18" t="s">
        <v>56</v>
      </c>
      <c r="C295" s="19"/>
      <c r="D295" s="19"/>
      <c r="E295" s="19"/>
      <c r="F295" s="30">
        <f>SUM(F290:F294)</f>
        <v>102340169</v>
      </c>
    </row>
    <row r="297" spans="1:9" ht="15.75" thickBot="1" x14ac:dyDescent="0.3"/>
    <row r="298" spans="1:9" ht="31.5" customHeight="1" x14ac:dyDescent="0.25">
      <c r="A298" s="509" t="s">
        <v>986</v>
      </c>
      <c r="B298" s="510"/>
      <c r="C298" s="510"/>
      <c r="D298" s="510"/>
      <c r="E298" s="510"/>
      <c r="F298" s="511"/>
    </row>
    <row r="299" spans="1:9" ht="15.75" thickBot="1" x14ac:dyDescent="0.3">
      <c r="A299" s="502" t="s">
        <v>1</v>
      </c>
      <c r="B299" s="503"/>
      <c r="C299" s="503"/>
      <c r="D299" s="503"/>
      <c r="E299" s="503"/>
      <c r="F299" s="504"/>
    </row>
    <row r="300" spans="1:9" x14ac:dyDescent="0.25">
      <c r="A300" s="54" t="s">
        <v>421</v>
      </c>
      <c r="B300" s="54" t="s">
        <v>422</v>
      </c>
      <c r="C300" s="54" t="s">
        <v>423</v>
      </c>
      <c r="D300" s="54" t="s">
        <v>13</v>
      </c>
      <c r="E300" s="54" t="s">
        <v>424</v>
      </c>
      <c r="F300" s="54" t="s">
        <v>425</v>
      </c>
    </row>
    <row r="301" spans="1:9" x14ac:dyDescent="0.25">
      <c r="A301" s="286" t="s">
        <v>338</v>
      </c>
      <c r="B301" s="11" t="s">
        <v>16</v>
      </c>
      <c r="C301" s="286"/>
      <c r="D301" s="177"/>
      <c r="E301" s="178"/>
      <c r="F301" s="178"/>
    </row>
    <row r="302" spans="1:9" ht="43.5" x14ac:dyDescent="0.25">
      <c r="A302" s="286" t="s">
        <v>339</v>
      </c>
      <c r="B302" s="13" t="s">
        <v>599</v>
      </c>
      <c r="C302" s="286" t="s">
        <v>341</v>
      </c>
      <c r="D302" s="177">
        <v>292</v>
      </c>
      <c r="E302" s="178">
        <v>7564</v>
      </c>
      <c r="F302" s="178">
        <f>ROUND(D302*E302,0)</f>
        <v>2208688</v>
      </c>
      <c r="I302" s="80"/>
    </row>
    <row r="303" spans="1:9" ht="43.5" x14ac:dyDescent="0.25">
      <c r="A303" s="286" t="s">
        <v>342</v>
      </c>
      <c r="B303" s="13" t="s">
        <v>600</v>
      </c>
      <c r="C303" s="286" t="s">
        <v>341</v>
      </c>
      <c r="D303" s="177">
        <v>596</v>
      </c>
      <c r="E303" s="178">
        <v>12418</v>
      </c>
      <c r="F303" s="178">
        <f>ROUND(D303*E303,0)</f>
        <v>7401128</v>
      </c>
      <c r="I303" s="80"/>
    </row>
    <row r="304" spans="1:9" ht="43.5" x14ac:dyDescent="0.25">
      <c r="A304" s="286" t="s">
        <v>405</v>
      </c>
      <c r="B304" s="17" t="s">
        <v>591</v>
      </c>
      <c r="C304" s="286" t="s">
        <v>23</v>
      </c>
      <c r="D304" s="177">
        <v>4</v>
      </c>
      <c r="E304" s="178">
        <v>243668</v>
      </c>
      <c r="F304" s="178">
        <f>ROUND(D304*E304,0)</f>
        <v>974672</v>
      </c>
      <c r="I304" s="80"/>
    </row>
    <row r="305" spans="1:9" x14ac:dyDescent="0.25">
      <c r="A305" s="286">
        <v>2</v>
      </c>
      <c r="B305" s="11" t="s">
        <v>347</v>
      </c>
      <c r="C305" s="286"/>
      <c r="D305" s="177"/>
      <c r="E305" s="178" t="s">
        <v>1</v>
      </c>
      <c r="F305" s="178"/>
      <c r="I305" s="80"/>
    </row>
    <row r="306" spans="1:9" x14ac:dyDescent="0.25">
      <c r="A306" s="286" t="s">
        <v>348</v>
      </c>
      <c r="B306" s="19" t="s">
        <v>349</v>
      </c>
      <c r="C306" s="286" t="s">
        <v>115</v>
      </c>
      <c r="D306" s="177">
        <v>54.88</v>
      </c>
      <c r="E306" s="178">
        <v>141463</v>
      </c>
      <c r="F306" s="178">
        <f>ROUND(D306*E306,0)</f>
        <v>7763489</v>
      </c>
      <c r="I306" s="80"/>
    </row>
    <row r="307" spans="1:9" ht="29.25" x14ac:dyDescent="0.25">
      <c r="A307" s="286">
        <v>2.2000000000000002</v>
      </c>
      <c r="B307" s="13" t="s">
        <v>569</v>
      </c>
      <c r="C307" s="286" t="s">
        <v>115</v>
      </c>
      <c r="D307" s="177">
        <v>1.4</v>
      </c>
      <c r="E307" s="178">
        <v>114584</v>
      </c>
      <c r="F307" s="178">
        <f>ROUND(D307*E307,0)</f>
        <v>160418</v>
      </c>
      <c r="I307" s="80"/>
    </row>
    <row r="308" spans="1:9" ht="29.25" x14ac:dyDescent="0.25">
      <c r="A308" s="286">
        <v>2.2999999999999998</v>
      </c>
      <c r="B308" s="13" t="s">
        <v>464</v>
      </c>
      <c r="C308" s="286" t="s">
        <v>115</v>
      </c>
      <c r="D308" s="177">
        <v>1</v>
      </c>
      <c r="E308" s="178">
        <v>107656</v>
      </c>
      <c r="F308" s="178">
        <f>ROUND(D308*E308,0)</f>
        <v>107656</v>
      </c>
      <c r="I308" s="80"/>
    </row>
    <row r="309" spans="1:9" x14ac:dyDescent="0.25">
      <c r="A309" s="286">
        <v>3</v>
      </c>
      <c r="B309" s="179" t="s">
        <v>353</v>
      </c>
      <c r="C309" s="286"/>
      <c r="D309" s="177"/>
      <c r="E309" s="178" t="s">
        <v>1</v>
      </c>
      <c r="F309" s="178"/>
      <c r="I309" s="80"/>
    </row>
    <row r="310" spans="1:9" ht="29.25" x14ac:dyDescent="0.25">
      <c r="A310" s="286" t="s">
        <v>354</v>
      </c>
      <c r="B310" s="13" t="s">
        <v>355</v>
      </c>
      <c r="C310" s="286" t="s">
        <v>115</v>
      </c>
      <c r="D310" s="177">
        <v>293.3</v>
      </c>
      <c r="E310" s="178">
        <v>36641</v>
      </c>
      <c r="F310" s="178">
        <f>ROUND(D310*E310,0)</f>
        <v>10746805</v>
      </c>
      <c r="I310" s="80"/>
    </row>
    <row r="311" spans="1:9" x14ac:dyDescent="0.25">
      <c r="A311" s="286">
        <v>4</v>
      </c>
      <c r="B311" s="179" t="s">
        <v>356</v>
      </c>
      <c r="C311" s="286"/>
      <c r="D311" s="177"/>
      <c r="E311" s="178" t="s">
        <v>1</v>
      </c>
      <c r="F311" s="178"/>
      <c r="I311" s="80"/>
    </row>
    <row r="312" spans="1:9" ht="29.25" x14ac:dyDescent="0.25">
      <c r="A312" s="286" t="s">
        <v>357</v>
      </c>
      <c r="B312" s="13" t="s">
        <v>358</v>
      </c>
      <c r="C312" s="286" t="s">
        <v>115</v>
      </c>
      <c r="D312" s="177">
        <v>369.88</v>
      </c>
      <c r="E312" s="178">
        <v>30196</v>
      </c>
      <c r="F312" s="178">
        <f>ROUND(D312*E312,0)</f>
        <v>11168896</v>
      </c>
      <c r="I312" s="80"/>
    </row>
    <row r="313" spans="1:9" ht="29.25" x14ac:dyDescent="0.25">
      <c r="A313" s="286">
        <v>4.2</v>
      </c>
      <c r="B313" s="13" t="s">
        <v>359</v>
      </c>
      <c r="C313" s="286" t="s">
        <v>115</v>
      </c>
      <c r="D313" s="177">
        <v>46.72</v>
      </c>
      <c r="E313" s="178">
        <v>35903</v>
      </c>
      <c r="F313" s="178">
        <f>ROUND(D313*E313,0)</f>
        <v>1677388</v>
      </c>
      <c r="I313" s="80"/>
    </row>
    <row r="314" spans="1:9" x14ac:dyDescent="0.25">
      <c r="A314" s="286" t="s">
        <v>602</v>
      </c>
      <c r="B314" s="13" t="s">
        <v>407</v>
      </c>
      <c r="C314" s="286" t="s">
        <v>18</v>
      </c>
      <c r="D314" s="177">
        <v>110</v>
      </c>
      <c r="E314" s="178">
        <v>36641</v>
      </c>
      <c r="F314" s="178">
        <f>ROUND(D314*E314,0)</f>
        <v>4030510</v>
      </c>
      <c r="I314" s="80"/>
    </row>
    <row r="315" spans="1:9" x14ac:dyDescent="0.25">
      <c r="A315" s="286">
        <v>5</v>
      </c>
      <c r="B315" s="179" t="s">
        <v>361</v>
      </c>
      <c r="C315" s="286"/>
      <c r="D315" s="177"/>
      <c r="E315" s="178" t="s">
        <v>1</v>
      </c>
      <c r="F315" s="178"/>
      <c r="I315" s="80"/>
    </row>
    <row r="316" spans="1:9" ht="29.25" x14ac:dyDescent="0.25">
      <c r="A316" s="286" t="s">
        <v>362</v>
      </c>
      <c r="B316" s="13" t="s">
        <v>363</v>
      </c>
      <c r="C316" s="286" t="s">
        <v>115</v>
      </c>
      <c r="D316" s="177">
        <v>134.86000000000001</v>
      </c>
      <c r="E316" s="178">
        <v>24785</v>
      </c>
      <c r="F316" s="178">
        <f>ROUND(D316*E316,0)</f>
        <v>3342505</v>
      </c>
      <c r="I316" s="80"/>
    </row>
    <row r="317" spans="1:9" ht="29.25" x14ac:dyDescent="0.25">
      <c r="A317" s="286" t="s">
        <v>364</v>
      </c>
      <c r="B317" s="13" t="s">
        <v>365</v>
      </c>
      <c r="C317" s="286" t="s">
        <v>115</v>
      </c>
      <c r="D317" s="177">
        <v>80.28</v>
      </c>
      <c r="E317" s="178">
        <v>106445</v>
      </c>
      <c r="F317" s="178">
        <f>ROUND(D317*E317,0)</f>
        <v>8545405</v>
      </c>
      <c r="I317" s="80"/>
    </row>
    <row r="318" spans="1:9" ht="30" x14ac:dyDescent="0.25">
      <c r="A318" s="286">
        <v>6</v>
      </c>
      <c r="B318" s="179" t="s">
        <v>366</v>
      </c>
      <c r="C318" s="286"/>
      <c r="D318" s="177"/>
      <c r="E318" s="178" t="s">
        <v>1</v>
      </c>
      <c r="F318" s="178"/>
      <c r="I318" s="80"/>
    </row>
    <row r="319" spans="1:9" x14ac:dyDescent="0.25">
      <c r="A319" s="286" t="s">
        <v>367</v>
      </c>
      <c r="B319" s="13" t="s">
        <v>620</v>
      </c>
      <c r="C319" s="286" t="s">
        <v>115</v>
      </c>
      <c r="D319" s="177">
        <v>1</v>
      </c>
      <c r="E319" s="178">
        <v>99425</v>
      </c>
      <c r="F319" s="178">
        <f>ROUND(D319*E319,0)</f>
        <v>99425</v>
      </c>
      <c r="I319" s="80"/>
    </row>
    <row r="320" spans="1:9" ht="43.5" x14ac:dyDescent="0.25">
      <c r="A320" s="286">
        <v>6.2</v>
      </c>
      <c r="B320" s="13" t="s">
        <v>621</v>
      </c>
      <c r="C320" s="286" t="s">
        <v>115</v>
      </c>
      <c r="D320" s="177">
        <v>54.88</v>
      </c>
      <c r="E320" s="178">
        <v>190032</v>
      </c>
      <c r="F320" s="178">
        <f>ROUND(D320*E320,0)</f>
        <v>10428956</v>
      </c>
      <c r="I320" s="80"/>
    </row>
    <row r="321" spans="1:9" ht="29.25" x14ac:dyDescent="0.25">
      <c r="A321" s="286">
        <v>6.3</v>
      </c>
      <c r="B321" s="13" t="s">
        <v>468</v>
      </c>
      <c r="C321" s="286" t="s">
        <v>115</v>
      </c>
      <c r="D321" s="177">
        <v>99.86</v>
      </c>
      <c r="E321" s="178">
        <v>100848</v>
      </c>
      <c r="F321" s="178">
        <f>ROUND(D321*E321,0)</f>
        <v>10070681</v>
      </c>
      <c r="I321" s="80"/>
    </row>
    <row r="322" spans="1:9" x14ac:dyDescent="0.25">
      <c r="A322" s="286">
        <v>7</v>
      </c>
      <c r="B322" s="179" t="s">
        <v>371</v>
      </c>
      <c r="C322" s="286"/>
      <c r="D322" s="177"/>
      <c r="E322" s="178" t="s">
        <v>1</v>
      </c>
      <c r="F322" s="178"/>
      <c r="I322" s="80"/>
    </row>
    <row r="323" spans="1:9" ht="43.5" x14ac:dyDescent="0.25">
      <c r="A323" s="286" t="s">
        <v>372</v>
      </c>
      <c r="B323" s="13" t="s">
        <v>622</v>
      </c>
      <c r="C323" s="286" t="s">
        <v>18</v>
      </c>
      <c r="D323" s="177">
        <v>68</v>
      </c>
      <c r="E323" s="178">
        <v>13960</v>
      </c>
      <c r="F323" s="178">
        <f>ROUND(D323*E323,0)</f>
        <v>949280</v>
      </c>
      <c r="I323" s="80"/>
    </row>
    <row r="324" spans="1:9" ht="43.5" x14ac:dyDescent="0.25">
      <c r="A324" s="286">
        <v>7.2</v>
      </c>
      <c r="B324" s="13" t="s">
        <v>881</v>
      </c>
      <c r="C324" s="286" t="s">
        <v>18</v>
      </c>
      <c r="D324" s="177">
        <v>292</v>
      </c>
      <c r="E324" s="178">
        <v>27441</v>
      </c>
      <c r="F324" s="178">
        <f>ROUND(D324*E324,0)</f>
        <v>8012772</v>
      </c>
      <c r="I324" s="80"/>
    </row>
    <row r="325" spans="1:9" ht="43.5" x14ac:dyDescent="0.25">
      <c r="A325" s="286">
        <v>7.3</v>
      </c>
      <c r="B325" s="13" t="s">
        <v>623</v>
      </c>
      <c r="C325" s="286" t="s">
        <v>18</v>
      </c>
      <c r="D325" s="177">
        <v>12</v>
      </c>
      <c r="E325" s="178">
        <v>22867</v>
      </c>
      <c r="F325" s="178">
        <f>+D325*E325</f>
        <v>274404</v>
      </c>
      <c r="I325" s="80"/>
    </row>
    <row r="326" spans="1:9" x14ac:dyDescent="0.25">
      <c r="A326" s="286" t="s">
        <v>376</v>
      </c>
      <c r="B326" s="13" t="s">
        <v>573</v>
      </c>
      <c r="C326" s="286" t="s">
        <v>125</v>
      </c>
      <c r="D326" s="177">
        <v>2</v>
      </c>
      <c r="E326" s="178">
        <v>103880</v>
      </c>
      <c r="F326" s="178">
        <f t="shared" ref="F326:F334" si="6">ROUND(D326*E326,0)</f>
        <v>207760</v>
      </c>
      <c r="I326" s="80"/>
    </row>
    <row r="327" spans="1:9" x14ac:dyDescent="0.25">
      <c r="A327" s="286" t="s">
        <v>378</v>
      </c>
      <c r="B327" s="13" t="s">
        <v>597</v>
      </c>
      <c r="C327" s="286" t="s">
        <v>23</v>
      </c>
      <c r="D327" s="177">
        <v>8</v>
      </c>
      <c r="E327" s="178">
        <v>69353</v>
      </c>
      <c r="F327" s="178">
        <f t="shared" si="6"/>
        <v>554824</v>
      </c>
      <c r="I327" s="80"/>
    </row>
    <row r="328" spans="1:9" ht="29.25" x14ac:dyDescent="0.25">
      <c r="A328" s="286" t="s">
        <v>380</v>
      </c>
      <c r="B328" s="13" t="s">
        <v>381</v>
      </c>
      <c r="C328" s="286" t="s">
        <v>18</v>
      </c>
      <c r="D328" s="177">
        <v>3.6</v>
      </c>
      <c r="E328" s="178">
        <v>721405</v>
      </c>
      <c r="F328" s="178">
        <f t="shared" si="6"/>
        <v>2597058</v>
      </c>
      <c r="I328" s="80"/>
    </row>
    <row r="329" spans="1:9" ht="29.25" x14ac:dyDescent="0.25">
      <c r="A329" s="286" t="s">
        <v>382</v>
      </c>
      <c r="B329" s="13" t="s">
        <v>616</v>
      </c>
      <c r="C329" s="286" t="s">
        <v>125</v>
      </c>
      <c r="D329" s="177">
        <v>3</v>
      </c>
      <c r="E329" s="178">
        <v>605385</v>
      </c>
      <c r="F329" s="178">
        <f t="shared" si="6"/>
        <v>1816155</v>
      </c>
      <c r="I329" s="80"/>
    </row>
    <row r="330" spans="1:9" ht="29.25" x14ac:dyDescent="0.25">
      <c r="A330" s="286" t="s">
        <v>384</v>
      </c>
      <c r="B330" s="13" t="s">
        <v>385</v>
      </c>
      <c r="C330" s="286" t="s">
        <v>125</v>
      </c>
      <c r="D330" s="177">
        <v>2</v>
      </c>
      <c r="E330" s="178">
        <v>574732</v>
      </c>
      <c r="F330" s="178">
        <f t="shared" si="6"/>
        <v>1149464</v>
      </c>
      <c r="I330" s="80"/>
    </row>
    <row r="331" spans="1:9" ht="29.25" x14ac:dyDescent="0.25">
      <c r="A331" s="286" t="s">
        <v>386</v>
      </c>
      <c r="B331" s="13" t="s">
        <v>588</v>
      </c>
      <c r="C331" s="286" t="s">
        <v>23</v>
      </c>
      <c r="D331" s="177">
        <v>17</v>
      </c>
      <c r="E331" s="178">
        <v>419235</v>
      </c>
      <c r="F331" s="178">
        <f t="shared" si="6"/>
        <v>7126995</v>
      </c>
      <c r="I331" s="80"/>
    </row>
    <row r="332" spans="1:9" ht="72" x14ac:dyDescent="0.25">
      <c r="A332" s="286" t="s">
        <v>388</v>
      </c>
      <c r="B332" s="17" t="s">
        <v>389</v>
      </c>
      <c r="C332" s="222" t="s">
        <v>125</v>
      </c>
      <c r="D332" s="186">
        <v>2</v>
      </c>
      <c r="E332" s="187">
        <v>1875342</v>
      </c>
      <c r="F332" s="187">
        <f t="shared" si="6"/>
        <v>3750684</v>
      </c>
      <c r="I332" s="80"/>
    </row>
    <row r="333" spans="1:9" ht="57.75" x14ac:dyDescent="0.25">
      <c r="A333" s="286" t="s">
        <v>390</v>
      </c>
      <c r="B333" s="13" t="s">
        <v>624</v>
      </c>
      <c r="C333" s="222" t="s">
        <v>125</v>
      </c>
      <c r="D333" s="186">
        <v>2</v>
      </c>
      <c r="E333" s="187">
        <v>795879</v>
      </c>
      <c r="F333" s="187">
        <f t="shared" si="6"/>
        <v>1591758</v>
      </c>
      <c r="I333" s="80"/>
    </row>
    <row r="334" spans="1:9" ht="29.25" x14ac:dyDescent="0.25">
      <c r="A334" s="286" t="s">
        <v>392</v>
      </c>
      <c r="B334" s="13" t="s">
        <v>882</v>
      </c>
      <c r="C334" s="286" t="s">
        <v>125</v>
      </c>
      <c r="D334" s="177">
        <v>17</v>
      </c>
      <c r="E334" s="178">
        <v>66314</v>
      </c>
      <c r="F334" s="178">
        <f t="shared" si="6"/>
        <v>1127338</v>
      </c>
      <c r="I334" s="80"/>
    </row>
    <row r="335" spans="1:9" x14ac:dyDescent="0.25">
      <c r="A335" s="286">
        <v>8</v>
      </c>
      <c r="B335" s="179" t="s">
        <v>394</v>
      </c>
      <c r="C335" s="286"/>
      <c r="D335" s="177"/>
      <c r="E335" s="178" t="s">
        <v>1</v>
      </c>
      <c r="F335" s="178"/>
      <c r="I335" s="80"/>
    </row>
    <row r="336" spans="1:9" ht="29.25" x14ac:dyDescent="0.25">
      <c r="A336" s="286" t="s">
        <v>395</v>
      </c>
      <c r="B336" s="13" t="s">
        <v>396</v>
      </c>
      <c r="C336" s="286" t="s">
        <v>18</v>
      </c>
      <c r="D336" s="177">
        <v>732.8</v>
      </c>
      <c r="E336" s="178">
        <v>14248</v>
      </c>
      <c r="F336" s="178">
        <f>ROUND(D336*E336,0)</f>
        <v>10440934</v>
      </c>
      <c r="I336" s="80"/>
    </row>
    <row r="337" spans="1:9" ht="57" x14ac:dyDescent="0.25">
      <c r="A337" s="286" t="s">
        <v>397</v>
      </c>
      <c r="B337" s="9" t="s">
        <v>398</v>
      </c>
      <c r="C337" s="286" t="s">
        <v>115</v>
      </c>
      <c r="D337" s="177">
        <v>49.39</v>
      </c>
      <c r="E337" s="178">
        <v>1114387</v>
      </c>
      <c r="F337" s="178">
        <f>ROUND(D337*E337,0)</f>
        <v>55039574</v>
      </c>
      <c r="I337" s="80"/>
    </row>
    <row r="338" spans="1:9" ht="29.25" x14ac:dyDescent="0.25">
      <c r="A338" s="286">
        <v>8.3000000000000007</v>
      </c>
      <c r="B338" s="181" t="s">
        <v>400</v>
      </c>
      <c r="C338" s="286" t="s">
        <v>115</v>
      </c>
      <c r="D338" s="177">
        <v>1</v>
      </c>
      <c r="E338" s="178">
        <v>761635</v>
      </c>
      <c r="F338" s="178">
        <f>ROUND(D338*E338,0)</f>
        <v>761635</v>
      </c>
      <c r="I338" s="80"/>
    </row>
    <row r="339" spans="1:9" x14ac:dyDescent="0.25">
      <c r="A339" s="219"/>
      <c r="B339" s="18" t="s">
        <v>56</v>
      </c>
      <c r="C339" s="54"/>
      <c r="D339" s="130"/>
      <c r="E339" s="28"/>
      <c r="F339" s="79">
        <f>SUM(F300:F338)</f>
        <v>174127257</v>
      </c>
    </row>
    <row r="340" spans="1:9" x14ac:dyDescent="0.25">
      <c r="A340" s="19"/>
      <c r="B340" s="19" t="s">
        <v>60</v>
      </c>
      <c r="C340" s="19"/>
      <c r="D340" s="19"/>
      <c r="E340" s="19"/>
      <c r="F340" s="29">
        <f>ROUND(F339/1.3495,0)</f>
        <v>129030943</v>
      </c>
    </row>
    <row r="341" spans="1:9" x14ac:dyDescent="0.25">
      <c r="A341" s="19"/>
      <c r="B341" s="19" t="s">
        <v>61</v>
      </c>
      <c r="C341" s="131">
        <v>0.24</v>
      </c>
      <c r="D341" s="19"/>
      <c r="E341" s="19"/>
      <c r="F341" s="29">
        <f>ROUND(F340*C341,0)</f>
        <v>30967426</v>
      </c>
    </row>
    <row r="342" spans="1:9" x14ac:dyDescent="0.25">
      <c r="A342" s="19"/>
      <c r="B342" s="19" t="s">
        <v>57</v>
      </c>
      <c r="C342" s="131">
        <v>0.05</v>
      </c>
      <c r="D342" s="19"/>
      <c r="E342" s="19"/>
      <c r="F342" s="29">
        <f>ROUND(F340*C342,0)</f>
        <v>6451547</v>
      </c>
    </row>
    <row r="343" spans="1:9" x14ac:dyDescent="0.25">
      <c r="A343" s="19"/>
      <c r="B343" s="19" t="s">
        <v>62</v>
      </c>
      <c r="C343" s="131">
        <v>0.05</v>
      </c>
      <c r="D343" s="19"/>
      <c r="E343" s="19"/>
      <c r="F343" s="29">
        <f>ROUND(F340*C343,0)</f>
        <v>6451547</v>
      </c>
    </row>
    <row r="344" spans="1:9" x14ac:dyDescent="0.25">
      <c r="A344" s="19"/>
      <c r="B344" s="132" t="s">
        <v>63</v>
      </c>
      <c r="C344" s="133">
        <v>0.19</v>
      </c>
      <c r="D344" s="120"/>
      <c r="E344" s="120"/>
      <c r="F344" s="35">
        <f>ROUND(F343*19%,0)</f>
        <v>1225794</v>
      </c>
    </row>
    <row r="345" spans="1:9" x14ac:dyDescent="0.25">
      <c r="A345" s="19"/>
      <c r="B345" s="18" t="s">
        <v>56</v>
      </c>
      <c r="C345" s="19"/>
      <c r="D345" s="19"/>
      <c r="E345" s="19"/>
      <c r="F345" s="30">
        <f>SUM(F340:F344)</f>
        <v>174127257</v>
      </c>
    </row>
    <row r="346" spans="1:9" ht="15.75" thickBot="1" x14ac:dyDescent="0.3"/>
    <row r="347" spans="1:9" ht="40.5" customHeight="1" x14ac:dyDescent="0.25">
      <c r="A347" s="497" t="s">
        <v>987</v>
      </c>
      <c r="B347" s="498"/>
      <c r="C347" s="498"/>
      <c r="D347" s="498"/>
      <c r="E347" s="498"/>
      <c r="F347" s="520"/>
    </row>
    <row r="348" spans="1:9" x14ac:dyDescent="0.25">
      <c r="A348" s="521" t="s">
        <v>1</v>
      </c>
      <c r="B348" s="522"/>
      <c r="C348" s="522"/>
      <c r="D348" s="522"/>
      <c r="E348" s="522"/>
      <c r="F348" s="523"/>
    </row>
    <row r="349" spans="1:9" x14ac:dyDescent="0.25">
      <c r="A349" s="286" t="s">
        <v>338</v>
      </c>
      <c r="B349" s="194" t="s">
        <v>16</v>
      </c>
      <c r="C349" s="286"/>
      <c r="D349" s="177"/>
      <c r="E349" s="178"/>
      <c r="F349" s="178"/>
    </row>
    <row r="350" spans="1:9" ht="43.5" x14ac:dyDescent="0.25">
      <c r="A350" s="286" t="s">
        <v>339</v>
      </c>
      <c r="B350" s="13" t="s">
        <v>599</v>
      </c>
      <c r="C350" s="286" t="s">
        <v>341</v>
      </c>
      <c r="D350" s="177">
        <v>188</v>
      </c>
      <c r="E350" s="178">
        <v>7564</v>
      </c>
      <c r="F350" s="178">
        <f>ROUND(D350*E350,0)</f>
        <v>1422032</v>
      </c>
      <c r="I350" s="80"/>
    </row>
    <row r="351" spans="1:9" ht="43.5" x14ac:dyDescent="0.25">
      <c r="A351" s="286" t="s">
        <v>342</v>
      </c>
      <c r="B351" s="17" t="s">
        <v>625</v>
      </c>
      <c r="C351" s="286" t="s">
        <v>341</v>
      </c>
      <c r="D351" s="177">
        <v>174</v>
      </c>
      <c r="E351" s="178">
        <v>12418</v>
      </c>
      <c r="F351" s="178">
        <f>ROUND(D351*E351,0)</f>
        <v>2160732</v>
      </c>
      <c r="I351" s="80"/>
    </row>
    <row r="352" spans="1:9" ht="43.5" x14ac:dyDescent="0.25">
      <c r="A352" s="286" t="s">
        <v>406</v>
      </c>
      <c r="B352" s="17" t="s">
        <v>591</v>
      </c>
      <c r="C352" s="286" t="s">
        <v>125</v>
      </c>
      <c r="D352" s="177">
        <v>6</v>
      </c>
      <c r="E352" s="178">
        <v>243668</v>
      </c>
      <c r="F352" s="178">
        <f>ROUND(D352*E352,0)</f>
        <v>1462008</v>
      </c>
      <c r="I352" s="80"/>
    </row>
    <row r="353" spans="1:9" x14ac:dyDescent="0.25">
      <c r="A353" s="286">
        <v>2</v>
      </c>
      <c r="B353" s="194" t="s">
        <v>347</v>
      </c>
      <c r="C353" s="286"/>
      <c r="D353" s="177"/>
      <c r="E353" s="178" t="s">
        <v>1</v>
      </c>
      <c r="F353" s="178"/>
      <c r="I353" s="80"/>
    </row>
    <row r="354" spans="1:9" x14ac:dyDescent="0.25">
      <c r="A354" s="286" t="s">
        <v>348</v>
      </c>
      <c r="B354" s="327" t="s">
        <v>349</v>
      </c>
      <c r="C354" s="286" t="s">
        <v>115</v>
      </c>
      <c r="D354" s="177">
        <v>29.5</v>
      </c>
      <c r="E354" s="178">
        <v>141463</v>
      </c>
      <c r="F354" s="178">
        <f>ROUND(D354*E354,0)</f>
        <v>4173159</v>
      </c>
      <c r="I354" s="80"/>
    </row>
    <row r="355" spans="1:9" ht="29.25" x14ac:dyDescent="0.25">
      <c r="A355" s="286">
        <v>2.2000000000000002</v>
      </c>
      <c r="B355" s="17" t="s">
        <v>626</v>
      </c>
      <c r="C355" s="286" t="s">
        <v>115</v>
      </c>
      <c r="D355" s="177">
        <v>2.2000000000000002</v>
      </c>
      <c r="E355" s="178">
        <v>114584</v>
      </c>
      <c r="F355" s="178">
        <f>ROUND(D355*E355,0)</f>
        <v>252085</v>
      </c>
      <c r="I355" s="80"/>
    </row>
    <row r="356" spans="1:9" ht="29.25" x14ac:dyDescent="0.25">
      <c r="A356" s="286">
        <v>2.2999999999999998</v>
      </c>
      <c r="B356" s="17" t="s">
        <v>464</v>
      </c>
      <c r="C356" s="286" t="s">
        <v>115</v>
      </c>
      <c r="D356" s="177">
        <v>4.9000000000000004</v>
      </c>
      <c r="E356" s="178">
        <v>107656</v>
      </c>
      <c r="F356" s="178">
        <f>ROUND(D356*E356,0)</f>
        <v>527514</v>
      </c>
      <c r="I356" s="80"/>
    </row>
    <row r="357" spans="1:9" x14ac:dyDescent="0.25">
      <c r="A357" s="286">
        <v>3</v>
      </c>
      <c r="B357" s="194" t="s">
        <v>353</v>
      </c>
      <c r="C357" s="286"/>
      <c r="D357" s="177"/>
      <c r="E357" s="178" t="s">
        <v>1</v>
      </c>
      <c r="F357" s="178"/>
      <c r="I357" s="80"/>
    </row>
    <row r="358" spans="1:9" ht="29.25" x14ac:dyDescent="0.25">
      <c r="A358" s="286" t="s">
        <v>354</v>
      </c>
      <c r="B358" s="13" t="s">
        <v>355</v>
      </c>
      <c r="C358" s="286" t="s">
        <v>115</v>
      </c>
      <c r="D358" s="177">
        <v>236</v>
      </c>
      <c r="E358" s="178">
        <v>36641</v>
      </c>
      <c r="F358" s="178">
        <f>ROUND(D358*E358,0)</f>
        <v>8647276</v>
      </c>
      <c r="I358" s="80"/>
    </row>
    <row r="359" spans="1:9" x14ac:dyDescent="0.25">
      <c r="A359" s="286">
        <v>4</v>
      </c>
      <c r="B359" s="179" t="s">
        <v>356</v>
      </c>
      <c r="C359" s="286"/>
      <c r="D359" s="177"/>
      <c r="E359" s="178" t="s">
        <v>1</v>
      </c>
      <c r="F359" s="178"/>
      <c r="I359" s="80"/>
    </row>
    <row r="360" spans="1:9" ht="29.25" x14ac:dyDescent="0.25">
      <c r="A360" s="286" t="s">
        <v>357</v>
      </c>
      <c r="B360" s="13" t="s">
        <v>358</v>
      </c>
      <c r="C360" s="286" t="s">
        <v>115</v>
      </c>
      <c r="D360" s="177">
        <v>270.10000000000002</v>
      </c>
      <c r="E360" s="178">
        <v>30196</v>
      </c>
      <c r="F360" s="178">
        <f>ROUND(D360*E360,0)</f>
        <v>8155940</v>
      </c>
      <c r="I360" s="80"/>
    </row>
    <row r="361" spans="1:9" x14ac:dyDescent="0.25">
      <c r="A361" s="286" t="s">
        <v>543</v>
      </c>
      <c r="B361" s="13" t="s">
        <v>360</v>
      </c>
      <c r="C361" s="286" t="s">
        <v>20</v>
      </c>
      <c r="D361" s="177">
        <v>120</v>
      </c>
      <c r="E361" s="178">
        <v>34497</v>
      </c>
      <c r="F361" s="178">
        <f>ROUND(D361*E361,0)</f>
        <v>4139640</v>
      </c>
      <c r="I361" s="80"/>
    </row>
    <row r="362" spans="1:9" x14ac:dyDescent="0.25">
      <c r="A362" s="286" t="s">
        <v>602</v>
      </c>
      <c r="B362" s="13" t="s">
        <v>627</v>
      </c>
      <c r="C362" s="286" t="s">
        <v>115</v>
      </c>
      <c r="D362" s="177">
        <v>16</v>
      </c>
      <c r="E362" s="178">
        <v>35903</v>
      </c>
      <c r="F362" s="178">
        <f>ROUND(D362*E362,0)</f>
        <v>574448</v>
      </c>
      <c r="I362" s="80"/>
    </row>
    <row r="363" spans="1:9" x14ac:dyDescent="0.25">
      <c r="A363" s="286">
        <v>5</v>
      </c>
      <c r="B363" s="194" t="s">
        <v>361</v>
      </c>
      <c r="C363" s="286"/>
      <c r="D363" s="177"/>
      <c r="E363" s="178" t="s">
        <v>1</v>
      </c>
      <c r="F363" s="178"/>
      <c r="I363" s="80"/>
    </row>
    <row r="364" spans="1:9" ht="29.25" x14ac:dyDescent="0.25">
      <c r="A364" s="286" t="s">
        <v>362</v>
      </c>
      <c r="B364" s="17" t="s">
        <v>363</v>
      </c>
      <c r="C364" s="286" t="s">
        <v>115</v>
      </c>
      <c r="D364" s="177">
        <v>91.6</v>
      </c>
      <c r="E364" s="178">
        <v>24785</v>
      </c>
      <c r="F364" s="178">
        <f>ROUND(D364*E364,0)</f>
        <v>2270306</v>
      </c>
      <c r="I364" s="80"/>
    </row>
    <row r="365" spans="1:9" ht="29.25" x14ac:dyDescent="0.25">
      <c r="A365" s="286" t="s">
        <v>364</v>
      </c>
      <c r="B365" s="17" t="s">
        <v>365</v>
      </c>
      <c r="C365" s="286" t="s">
        <v>115</v>
      </c>
      <c r="D365" s="177">
        <v>169.9</v>
      </c>
      <c r="E365" s="178">
        <v>106445</v>
      </c>
      <c r="F365" s="178">
        <f>ROUND(D365*E365,0)</f>
        <v>18085006</v>
      </c>
      <c r="I365" s="80"/>
    </row>
    <row r="366" spans="1:9" ht="30" x14ac:dyDescent="0.25">
      <c r="A366" s="286">
        <v>6</v>
      </c>
      <c r="B366" s="179" t="s">
        <v>366</v>
      </c>
      <c r="C366" s="286"/>
      <c r="D366" s="177"/>
      <c r="E366" s="178" t="s">
        <v>1</v>
      </c>
      <c r="F366" s="178"/>
      <c r="I366" s="80"/>
    </row>
    <row r="367" spans="1:9" ht="43.5" x14ac:dyDescent="0.25">
      <c r="A367" s="286" t="s">
        <v>367</v>
      </c>
      <c r="B367" s="17" t="s">
        <v>628</v>
      </c>
      <c r="C367" s="286" t="s">
        <v>115</v>
      </c>
      <c r="D367" s="177">
        <v>29.5</v>
      </c>
      <c r="E367" s="178">
        <v>190032</v>
      </c>
      <c r="F367" s="178">
        <f>ROUND(D367*E367,0)</f>
        <v>5605944</v>
      </c>
      <c r="I367" s="80"/>
    </row>
    <row r="368" spans="1:9" ht="29.25" x14ac:dyDescent="0.25">
      <c r="A368" s="286">
        <v>6.2</v>
      </c>
      <c r="B368" s="13" t="s">
        <v>468</v>
      </c>
      <c r="C368" s="286" t="s">
        <v>115</v>
      </c>
      <c r="D368" s="177">
        <v>44.1</v>
      </c>
      <c r="E368" s="178">
        <v>100848</v>
      </c>
      <c r="F368" s="178">
        <f>ROUND(D368*E368,0)</f>
        <v>4447397</v>
      </c>
      <c r="I368" s="80"/>
    </row>
    <row r="369" spans="1:9" ht="29.25" x14ac:dyDescent="0.25">
      <c r="A369" s="286">
        <v>6.3</v>
      </c>
      <c r="B369" s="13" t="s">
        <v>629</v>
      </c>
      <c r="C369" s="286" t="s">
        <v>115</v>
      </c>
      <c r="D369" s="177">
        <v>6.1</v>
      </c>
      <c r="E369" s="178">
        <v>99425</v>
      </c>
      <c r="F369" s="178">
        <f>ROUND(D369*E369,0)</f>
        <v>606493</v>
      </c>
      <c r="I369" s="80"/>
    </row>
    <row r="370" spans="1:9" x14ac:dyDescent="0.25">
      <c r="A370" s="286">
        <v>7</v>
      </c>
      <c r="B370" s="194" t="s">
        <v>371</v>
      </c>
      <c r="C370" s="286"/>
      <c r="D370" s="177"/>
      <c r="E370" s="178" t="s">
        <v>1</v>
      </c>
      <c r="F370" s="178"/>
      <c r="I370" s="80"/>
    </row>
    <row r="371" spans="1:9" ht="43.5" x14ac:dyDescent="0.25">
      <c r="A371" s="286" t="s">
        <v>372</v>
      </c>
      <c r="B371" s="17" t="s">
        <v>630</v>
      </c>
      <c r="C371" s="286" t="s">
        <v>18</v>
      </c>
      <c r="D371" s="177">
        <v>210</v>
      </c>
      <c r="E371" s="178">
        <v>13960</v>
      </c>
      <c r="F371" s="178">
        <f>ROUND(D371*E371,0)</f>
        <v>2931600</v>
      </c>
      <c r="I371" s="80"/>
    </row>
    <row r="372" spans="1:9" ht="43.5" x14ac:dyDescent="0.25">
      <c r="A372" s="286">
        <v>7.2</v>
      </c>
      <c r="B372" s="17" t="s">
        <v>631</v>
      </c>
      <c r="C372" s="286" t="s">
        <v>18</v>
      </c>
      <c r="D372" s="177">
        <v>80</v>
      </c>
      <c r="E372" s="178">
        <v>37226</v>
      </c>
      <c r="F372" s="178">
        <f>ROUND(D372*E372,0)</f>
        <v>2978080</v>
      </c>
      <c r="I372" s="80"/>
    </row>
    <row r="373" spans="1:9" ht="43.5" x14ac:dyDescent="0.25">
      <c r="A373" s="286">
        <v>7.3</v>
      </c>
      <c r="B373" s="17" t="s">
        <v>632</v>
      </c>
      <c r="C373" s="286" t="s">
        <v>18</v>
      </c>
      <c r="D373" s="177">
        <v>30</v>
      </c>
      <c r="E373" s="178">
        <v>22867</v>
      </c>
      <c r="F373" s="178">
        <f>+D373*E373</f>
        <v>686010</v>
      </c>
      <c r="I373" s="80"/>
    </row>
    <row r="374" spans="1:9" ht="29.25" x14ac:dyDescent="0.25">
      <c r="A374" s="286" t="s">
        <v>376</v>
      </c>
      <c r="B374" s="13" t="s">
        <v>633</v>
      </c>
      <c r="C374" s="286" t="s">
        <v>125</v>
      </c>
      <c r="D374" s="177">
        <v>2</v>
      </c>
      <c r="E374" s="178">
        <v>103880</v>
      </c>
      <c r="F374" s="178">
        <f t="shared" ref="F374:F380" si="7">ROUND(D374*E374,0)</f>
        <v>207760</v>
      </c>
      <c r="I374" s="80"/>
    </row>
    <row r="375" spans="1:9" ht="29.25" x14ac:dyDescent="0.25">
      <c r="A375" s="286" t="s">
        <v>378</v>
      </c>
      <c r="B375" s="13" t="s">
        <v>381</v>
      </c>
      <c r="C375" s="286" t="s">
        <v>18</v>
      </c>
      <c r="D375" s="177">
        <v>0</v>
      </c>
      <c r="E375" s="178">
        <v>721405</v>
      </c>
      <c r="F375" s="178">
        <f t="shared" si="7"/>
        <v>0</v>
      </c>
      <c r="I375" s="80"/>
    </row>
    <row r="376" spans="1:9" ht="29.25" x14ac:dyDescent="0.25">
      <c r="A376" s="286" t="s">
        <v>380</v>
      </c>
      <c r="B376" s="13" t="s">
        <v>616</v>
      </c>
      <c r="C376" s="286" t="s">
        <v>125</v>
      </c>
      <c r="D376" s="177">
        <v>2</v>
      </c>
      <c r="E376" s="178">
        <v>605385</v>
      </c>
      <c r="F376" s="178">
        <f t="shared" si="7"/>
        <v>1210770</v>
      </c>
      <c r="I376" s="80"/>
    </row>
    <row r="377" spans="1:9" ht="29.25" x14ac:dyDescent="0.25">
      <c r="A377" s="286" t="s">
        <v>382</v>
      </c>
      <c r="B377" s="17" t="s">
        <v>634</v>
      </c>
      <c r="C377" s="286" t="s">
        <v>125</v>
      </c>
      <c r="D377" s="177">
        <v>2</v>
      </c>
      <c r="E377" s="178">
        <v>574732</v>
      </c>
      <c r="F377" s="178">
        <f t="shared" si="7"/>
        <v>1149464</v>
      </c>
      <c r="I377" s="80"/>
    </row>
    <row r="378" spans="1:9" ht="43.5" x14ac:dyDescent="0.25">
      <c r="A378" s="286" t="s">
        <v>384</v>
      </c>
      <c r="B378" s="17" t="s">
        <v>635</v>
      </c>
      <c r="C378" s="286" t="s">
        <v>23</v>
      </c>
      <c r="D378" s="177">
        <v>28</v>
      </c>
      <c r="E378" s="178">
        <v>419235</v>
      </c>
      <c r="F378" s="178">
        <f t="shared" si="7"/>
        <v>11738580</v>
      </c>
      <c r="I378" s="80"/>
    </row>
    <row r="379" spans="1:9" x14ac:dyDescent="0.25">
      <c r="A379" s="328" t="s">
        <v>386</v>
      </c>
      <c r="B379" s="327" t="s">
        <v>636</v>
      </c>
      <c r="C379" s="286" t="s">
        <v>125</v>
      </c>
      <c r="D379" s="177">
        <v>28</v>
      </c>
      <c r="E379" s="178">
        <v>66314</v>
      </c>
      <c r="F379" s="178">
        <f t="shared" si="7"/>
        <v>1856792</v>
      </c>
      <c r="I379" s="80"/>
    </row>
    <row r="380" spans="1:9" ht="72" x14ac:dyDescent="0.25">
      <c r="A380" s="329" t="s">
        <v>388</v>
      </c>
      <c r="B380" s="17" t="s">
        <v>568</v>
      </c>
      <c r="C380" s="286" t="s">
        <v>125</v>
      </c>
      <c r="D380" s="177">
        <v>4</v>
      </c>
      <c r="E380" s="178">
        <v>1875342</v>
      </c>
      <c r="F380" s="178">
        <f t="shared" si="7"/>
        <v>7501368</v>
      </c>
      <c r="I380" s="80"/>
    </row>
    <row r="381" spans="1:9" x14ac:dyDescent="0.25">
      <c r="A381" s="286">
        <v>8</v>
      </c>
      <c r="B381" s="194" t="s">
        <v>394</v>
      </c>
      <c r="C381" s="286"/>
      <c r="D381" s="177"/>
      <c r="E381" s="178">
        <v>0</v>
      </c>
      <c r="F381" s="178"/>
      <c r="I381" s="80"/>
    </row>
    <row r="382" spans="1:9" ht="29.25" x14ac:dyDescent="0.25">
      <c r="A382" s="286" t="s">
        <v>395</v>
      </c>
      <c r="B382" s="13" t="s">
        <v>396</v>
      </c>
      <c r="C382" s="286" t="s">
        <v>18</v>
      </c>
      <c r="D382" s="177">
        <v>659</v>
      </c>
      <c r="E382" s="178">
        <v>14248</v>
      </c>
      <c r="F382" s="178">
        <f t="shared" ref="F382:F387" si="8">ROUND(D382*E382,0)</f>
        <v>9389432</v>
      </c>
      <c r="I382" s="80"/>
    </row>
    <row r="383" spans="1:9" ht="57" x14ac:dyDescent="0.25">
      <c r="A383" s="286" t="s">
        <v>397</v>
      </c>
      <c r="B383" s="9" t="s">
        <v>637</v>
      </c>
      <c r="C383" s="286" t="s">
        <v>115</v>
      </c>
      <c r="D383" s="177">
        <v>29.4</v>
      </c>
      <c r="E383" s="178">
        <v>1114387</v>
      </c>
      <c r="F383" s="178">
        <f t="shared" si="8"/>
        <v>32762978</v>
      </c>
      <c r="I383" s="80"/>
    </row>
    <row r="384" spans="1:9" ht="29.25" x14ac:dyDescent="0.25">
      <c r="A384" s="286" t="s">
        <v>414</v>
      </c>
      <c r="B384" s="17" t="s">
        <v>638</v>
      </c>
      <c r="C384" s="286" t="s">
        <v>20</v>
      </c>
      <c r="D384" s="177">
        <v>210</v>
      </c>
      <c r="E384" s="178">
        <v>12189</v>
      </c>
      <c r="F384" s="178">
        <f t="shared" si="8"/>
        <v>2559690</v>
      </c>
      <c r="I384" s="80"/>
    </row>
    <row r="385" spans="1:9" ht="29.25" x14ac:dyDescent="0.25">
      <c r="A385" s="286" t="s">
        <v>416</v>
      </c>
      <c r="B385" s="181" t="s">
        <v>639</v>
      </c>
      <c r="C385" s="286" t="s">
        <v>115</v>
      </c>
      <c r="D385" s="177">
        <v>10.1</v>
      </c>
      <c r="E385" s="178">
        <v>761635</v>
      </c>
      <c r="F385" s="178">
        <f t="shared" si="8"/>
        <v>7692514</v>
      </c>
      <c r="I385" s="80"/>
    </row>
    <row r="386" spans="1:9" ht="57.75" x14ac:dyDescent="0.25">
      <c r="A386" s="286" t="s">
        <v>417</v>
      </c>
      <c r="B386" s="13" t="s">
        <v>640</v>
      </c>
      <c r="C386" s="286" t="s">
        <v>125</v>
      </c>
      <c r="D386" s="177">
        <v>2</v>
      </c>
      <c r="E386" s="178">
        <v>742762</v>
      </c>
      <c r="F386" s="178">
        <f t="shared" si="8"/>
        <v>1485524</v>
      </c>
      <c r="I386" s="80"/>
    </row>
    <row r="387" spans="1:9" ht="57.75" x14ac:dyDescent="0.25">
      <c r="A387" s="286" t="s">
        <v>418</v>
      </c>
      <c r="B387" s="13" t="s">
        <v>641</v>
      </c>
      <c r="C387" s="286" t="s">
        <v>20</v>
      </c>
      <c r="D387" s="177">
        <v>50</v>
      </c>
      <c r="E387" s="178">
        <v>71594</v>
      </c>
      <c r="F387" s="178">
        <f t="shared" si="8"/>
        <v>3579700</v>
      </c>
      <c r="I387" s="80"/>
    </row>
    <row r="388" spans="1:9" x14ac:dyDescent="0.25">
      <c r="A388" s="219"/>
      <c r="B388" s="18" t="s">
        <v>56</v>
      </c>
      <c r="C388" s="54"/>
      <c r="D388" s="130"/>
      <c r="E388" s="28"/>
      <c r="F388" s="79">
        <f>SUM(F348:F387)</f>
        <v>150260242</v>
      </c>
    </row>
    <row r="389" spans="1:9" x14ac:dyDescent="0.25">
      <c r="A389" s="19"/>
      <c r="B389" s="19" t="s">
        <v>60</v>
      </c>
      <c r="C389" s="19"/>
      <c r="D389" s="19"/>
      <c r="E389" s="19"/>
      <c r="F389" s="29">
        <f>ROUND(F388/1.3495,0)</f>
        <v>111345122</v>
      </c>
    </row>
    <row r="390" spans="1:9" x14ac:dyDescent="0.25">
      <c r="A390" s="19"/>
      <c r="B390" s="19" t="s">
        <v>61</v>
      </c>
      <c r="C390" s="131">
        <v>0.24</v>
      </c>
      <c r="D390" s="19"/>
      <c r="E390" s="19"/>
      <c r="F390" s="29">
        <f>ROUND(F389*C390,0)</f>
        <v>26722829</v>
      </c>
    </row>
    <row r="391" spans="1:9" x14ac:dyDescent="0.25">
      <c r="A391" s="19"/>
      <c r="B391" s="19" t="s">
        <v>57</v>
      </c>
      <c r="C391" s="131">
        <v>0.05</v>
      </c>
      <c r="D391" s="19"/>
      <c r="E391" s="19"/>
      <c r="F391" s="29">
        <f>ROUND(F389*C391,0)</f>
        <v>5567256</v>
      </c>
    </row>
    <row r="392" spans="1:9" x14ac:dyDescent="0.25">
      <c r="A392" s="19"/>
      <c r="B392" s="19" t="s">
        <v>62</v>
      </c>
      <c r="C392" s="131">
        <v>0.05</v>
      </c>
      <c r="D392" s="19"/>
      <c r="E392" s="19"/>
      <c r="F392" s="29">
        <f>ROUND(F389*C392,0)</f>
        <v>5567256</v>
      </c>
    </row>
    <row r="393" spans="1:9" x14ac:dyDescent="0.25">
      <c r="A393" s="19"/>
      <c r="B393" s="132" t="s">
        <v>63</v>
      </c>
      <c r="C393" s="133">
        <v>0.19</v>
      </c>
      <c r="D393" s="120"/>
      <c r="E393" s="120"/>
      <c r="F393" s="35">
        <f>ROUND(F392*19%,0)</f>
        <v>1057779</v>
      </c>
    </row>
    <row r="394" spans="1:9" x14ac:dyDescent="0.25">
      <c r="A394" s="19"/>
      <c r="B394" s="18" t="s">
        <v>56</v>
      </c>
      <c r="C394" s="19"/>
      <c r="D394" s="19"/>
      <c r="E394" s="19"/>
      <c r="F394" s="30">
        <f>SUM(F389:F393)</f>
        <v>150260242</v>
      </c>
    </row>
    <row r="395" spans="1:9" ht="15.75" thickBot="1" x14ac:dyDescent="0.3"/>
    <row r="396" spans="1:9" ht="41.25" customHeight="1" x14ac:dyDescent="0.25">
      <c r="A396" s="509" t="s">
        <v>988</v>
      </c>
      <c r="B396" s="517"/>
      <c r="C396" s="517"/>
      <c r="D396" s="517"/>
      <c r="E396" s="517"/>
      <c r="F396" s="518"/>
    </row>
    <row r="397" spans="1:9" x14ac:dyDescent="0.25">
      <c r="A397" s="515" t="s">
        <v>1</v>
      </c>
      <c r="B397" s="516"/>
      <c r="C397" s="516"/>
      <c r="D397" s="516"/>
      <c r="E397" s="516"/>
      <c r="F397" s="519"/>
    </row>
    <row r="398" spans="1:9" x14ac:dyDescent="0.25">
      <c r="A398" s="286" t="s">
        <v>338</v>
      </c>
      <c r="B398" s="194" t="s">
        <v>16</v>
      </c>
      <c r="C398" s="286"/>
      <c r="D398" s="177"/>
      <c r="E398" s="178"/>
      <c r="F398" s="178"/>
    </row>
    <row r="399" spans="1:9" ht="43.5" x14ac:dyDescent="0.25">
      <c r="A399" s="286" t="s">
        <v>339</v>
      </c>
      <c r="B399" s="13" t="s">
        <v>599</v>
      </c>
      <c r="C399" s="286" t="s">
        <v>341</v>
      </c>
      <c r="D399" s="177">
        <v>95</v>
      </c>
      <c r="E399" s="178">
        <v>7564</v>
      </c>
      <c r="F399" s="178">
        <f t="shared" ref="F399:F401" si="9">ROUND(D399*E399,0)</f>
        <v>718580</v>
      </c>
      <c r="I399" s="80"/>
    </row>
    <row r="400" spans="1:9" ht="43.5" x14ac:dyDescent="0.25">
      <c r="A400" s="286" t="s">
        <v>342</v>
      </c>
      <c r="B400" s="17" t="s">
        <v>642</v>
      </c>
      <c r="C400" s="286" t="s">
        <v>341</v>
      </c>
      <c r="D400" s="177">
        <v>214.2</v>
      </c>
      <c r="E400" s="178">
        <v>12418</v>
      </c>
      <c r="F400" s="178">
        <f t="shared" si="9"/>
        <v>2659936</v>
      </c>
      <c r="I400" s="80"/>
    </row>
    <row r="401" spans="1:9" ht="43.5" x14ac:dyDescent="0.25">
      <c r="A401" s="286" t="s">
        <v>405</v>
      </c>
      <c r="B401" s="17" t="s">
        <v>591</v>
      </c>
      <c r="C401" s="286" t="s">
        <v>125</v>
      </c>
      <c r="D401" s="177">
        <v>6</v>
      </c>
      <c r="E401" s="178">
        <v>243668</v>
      </c>
      <c r="F401" s="178">
        <f t="shared" si="9"/>
        <v>1462008</v>
      </c>
      <c r="I401" s="80"/>
    </row>
    <row r="402" spans="1:9" x14ac:dyDescent="0.25">
      <c r="A402" s="286">
        <v>2</v>
      </c>
      <c r="B402" s="194" t="s">
        <v>347</v>
      </c>
      <c r="C402" s="286"/>
      <c r="D402" s="177"/>
      <c r="E402" s="178" t="s">
        <v>1</v>
      </c>
      <c r="F402" s="178"/>
      <c r="I402" s="80"/>
    </row>
    <row r="403" spans="1:9" x14ac:dyDescent="0.25">
      <c r="A403" s="286" t="s">
        <v>348</v>
      </c>
      <c r="B403" s="327" t="s">
        <v>349</v>
      </c>
      <c r="C403" s="286" t="s">
        <v>115</v>
      </c>
      <c r="D403" s="177">
        <v>30.06</v>
      </c>
      <c r="E403" s="178">
        <v>141463</v>
      </c>
      <c r="F403" s="178">
        <f t="shared" ref="F403:F405" si="10">ROUND(D403*E403,0)</f>
        <v>4252378</v>
      </c>
      <c r="I403" s="80"/>
    </row>
    <row r="404" spans="1:9" ht="29.25" x14ac:dyDescent="0.25">
      <c r="A404" s="286">
        <v>2.2000000000000002</v>
      </c>
      <c r="B404" s="17" t="s">
        <v>626</v>
      </c>
      <c r="C404" s="286" t="s">
        <v>115</v>
      </c>
      <c r="D404" s="177">
        <v>2.1</v>
      </c>
      <c r="E404" s="178">
        <v>114584</v>
      </c>
      <c r="F404" s="178">
        <f t="shared" si="10"/>
        <v>240626</v>
      </c>
      <c r="I404" s="80"/>
    </row>
    <row r="405" spans="1:9" ht="29.25" x14ac:dyDescent="0.25">
      <c r="A405" s="286">
        <v>2.2999999999999998</v>
      </c>
      <c r="B405" s="17" t="s">
        <v>464</v>
      </c>
      <c r="C405" s="286" t="s">
        <v>115</v>
      </c>
      <c r="D405" s="177">
        <v>1.2</v>
      </c>
      <c r="E405" s="178">
        <v>107656</v>
      </c>
      <c r="F405" s="178">
        <f t="shared" si="10"/>
        <v>129187</v>
      </c>
      <c r="I405" s="80"/>
    </row>
    <row r="406" spans="1:9" x14ac:dyDescent="0.25">
      <c r="A406" s="286">
        <v>3</v>
      </c>
      <c r="B406" s="194" t="s">
        <v>353</v>
      </c>
      <c r="C406" s="286"/>
      <c r="D406" s="177"/>
      <c r="E406" s="178">
        <v>0</v>
      </c>
      <c r="F406" s="178"/>
      <c r="I406" s="80"/>
    </row>
    <row r="407" spans="1:9" ht="29.25" x14ac:dyDescent="0.25">
      <c r="A407" s="286" t="s">
        <v>354</v>
      </c>
      <c r="B407" s="13" t="s">
        <v>355</v>
      </c>
      <c r="C407" s="286" t="s">
        <v>115</v>
      </c>
      <c r="D407" s="177">
        <v>265.31</v>
      </c>
      <c r="E407" s="178">
        <v>36641</v>
      </c>
      <c r="F407" s="178">
        <f t="shared" ref="F407" si="11">ROUND(D407*E407,0)</f>
        <v>9721224</v>
      </c>
      <c r="I407" s="80"/>
    </row>
    <row r="408" spans="1:9" x14ac:dyDescent="0.25">
      <c r="A408" s="286">
        <v>4</v>
      </c>
      <c r="B408" s="194" t="s">
        <v>356</v>
      </c>
      <c r="C408" s="286"/>
      <c r="D408" s="177"/>
      <c r="E408" s="178" t="s">
        <v>1</v>
      </c>
      <c r="F408" s="178"/>
      <c r="I408" s="80"/>
    </row>
    <row r="409" spans="1:9" ht="29.25" x14ac:dyDescent="0.25">
      <c r="A409" s="286" t="s">
        <v>357</v>
      </c>
      <c r="B409" s="13" t="s">
        <v>358</v>
      </c>
      <c r="C409" s="286" t="s">
        <v>115</v>
      </c>
      <c r="D409" s="177">
        <v>329.8</v>
      </c>
      <c r="E409" s="178">
        <v>30196</v>
      </c>
      <c r="F409" s="178">
        <f t="shared" ref="F409:F411" si="12">ROUND(D409*E409,0)</f>
        <v>9958641</v>
      </c>
      <c r="I409" s="80"/>
    </row>
    <row r="410" spans="1:9" x14ac:dyDescent="0.25">
      <c r="A410" s="286">
        <v>4.2</v>
      </c>
      <c r="B410" s="327" t="s">
        <v>643</v>
      </c>
      <c r="C410" s="286" t="s">
        <v>18</v>
      </c>
      <c r="D410" s="177">
        <v>142</v>
      </c>
      <c r="E410" s="178">
        <v>34497</v>
      </c>
      <c r="F410" s="178">
        <f t="shared" si="12"/>
        <v>4898574</v>
      </c>
      <c r="I410" s="80"/>
    </row>
    <row r="411" spans="1:9" x14ac:dyDescent="0.25">
      <c r="A411" s="286" t="s">
        <v>602</v>
      </c>
      <c r="B411" s="327" t="s">
        <v>644</v>
      </c>
      <c r="C411" s="286" t="s">
        <v>115</v>
      </c>
      <c r="D411" s="177">
        <v>17.100000000000001</v>
      </c>
      <c r="E411" s="178">
        <v>35903</v>
      </c>
      <c r="F411" s="178">
        <f t="shared" si="12"/>
        <v>613941</v>
      </c>
      <c r="I411" s="80"/>
    </row>
    <row r="412" spans="1:9" x14ac:dyDescent="0.25">
      <c r="A412" s="286">
        <v>5</v>
      </c>
      <c r="B412" s="194" t="s">
        <v>361</v>
      </c>
      <c r="C412" s="286"/>
      <c r="D412" s="177"/>
      <c r="E412" s="178" t="s">
        <v>1</v>
      </c>
      <c r="F412" s="178"/>
      <c r="I412" s="80"/>
    </row>
    <row r="413" spans="1:9" ht="29.25" x14ac:dyDescent="0.25">
      <c r="A413" s="286" t="s">
        <v>362</v>
      </c>
      <c r="B413" s="17" t="s">
        <v>363</v>
      </c>
      <c r="C413" s="286" t="s">
        <v>115</v>
      </c>
      <c r="D413" s="177">
        <v>99.63</v>
      </c>
      <c r="E413" s="178">
        <v>24785</v>
      </c>
      <c r="F413" s="178">
        <f t="shared" ref="F413:F414" si="13">ROUND(D413*E413,0)</f>
        <v>2469330</v>
      </c>
      <c r="I413" s="80"/>
    </row>
    <row r="414" spans="1:9" ht="29.25" x14ac:dyDescent="0.25">
      <c r="A414" s="286" t="s">
        <v>364</v>
      </c>
      <c r="B414" s="17" t="s">
        <v>365</v>
      </c>
      <c r="C414" s="286" t="s">
        <v>115</v>
      </c>
      <c r="D414" s="177">
        <v>149.44</v>
      </c>
      <c r="E414" s="178">
        <v>106445</v>
      </c>
      <c r="F414" s="178">
        <f t="shared" si="13"/>
        <v>15907141</v>
      </c>
      <c r="I414" s="80"/>
    </row>
    <row r="415" spans="1:9" ht="30" x14ac:dyDescent="0.25">
      <c r="A415" s="286">
        <v>6</v>
      </c>
      <c r="B415" s="179" t="s">
        <v>366</v>
      </c>
      <c r="C415" s="286"/>
      <c r="D415" s="177"/>
      <c r="E415" s="178" t="s">
        <v>1</v>
      </c>
      <c r="F415" s="178"/>
      <c r="I415" s="80"/>
    </row>
    <row r="416" spans="1:9" ht="29.25" x14ac:dyDescent="0.25">
      <c r="A416" s="286" t="s">
        <v>367</v>
      </c>
      <c r="B416" s="13" t="s">
        <v>645</v>
      </c>
      <c r="C416" s="286" t="s">
        <v>115</v>
      </c>
      <c r="D416" s="177">
        <v>32.94</v>
      </c>
      <c r="E416" s="178">
        <v>190032</v>
      </c>
      <c r="F416" s="178">
        <f t="shared" ref="F416:F418" si="14">ROUND(D416*E416,0)</f>
        <v>6259654</v>
      </c>
      <c r="I416" s="80"/>
    </row>
    <row r="417" spans="1:9" ht="29.25" x14ac:dyDescent="0.25">
      <c r="A417" s="286">
        <v>6.2</v>
      </c>
      <c r="B417" s="13" t="s">
        <v>468</v>
      </c>
      <c r="C417" s="286" t="s">
        <v>115</v>
      </c>
      <c r="D417" s="177">
        <v>49.57</v>
      </c>
      <c r="E417" s="178">
        <v>100848</v>
      </c>
      <c r="F417" s="178">
        <f t="shared" si="14"/>
        <v>4999035</v>
      </c>
      <c r="I417" s="80"/>
    </row>
    <row r="418" spans="1:9" x14ac:dyDescent="0.25">
      <c r="A418" s="286">
        <v>6.3</v>
      </c>
      <c r="B418" s="327" t="s">
        <v>646</v>
      </c>
      <c r="C418" s="286" t="s">
        <v>115</v>
      </c>
      <c r="D418" s="177">
        <v>1.2</v>
      </c>
      <c r="E418" s="178">
        <v>99425</v>
      </c>
      <c r="F418" s="178">
        <f t="shared" si="14"/>
        <v>119310</v>
      </c>
      <c r="I418" s="80"/>
    </row>
    <row r="419" spans="1:9" x14ac:dyDescent="0.25">
      <c r="A419" s="286">
        <v>7</v>
      </c>
      <c r="B419" s="194" t="s">
        <v>371</v>
      </c>
      <c r="C419" s="286"/>
      <c r="D419" s="177"/>
      <c r="E419" s="178" t="s">
        <v>1</v>
      </c>
      <c r="F419" s="178"/>
      <c r="I419" s="80"/>
    </row>
    <row r="420" spans="1:9" ht="43.5" x14ac:dyDescent="0.25">
      <c r="A420" s="286" t="s">
        <v>372</v>
      </c>
      <c r="B420" s="17" t="s">
        <v>647</v>
      </c>
      <c r="C420" s="286" t="s">
        <v>18</v>
      </c>
      <c r="D420" s="177">
        <v>108</v>
      </c>
      <c r="E420" s="178">
        <v>13960</v>
      </c>
      <c r="F420" s="178">
        <f t="shared" ref="F420:F425" si="15">ROUND(D420*E420,0)</f>
        <v>1507680</v>
      </c>
      <c r="I420" s="80"/>
    </row>
    <row r="421" spans="1:9" ht="43.5" x14ac:dyDescent="0.25">
      <c r="A421" s="286">
        <v>7.2</v>
      </c>
      <c r="B421" s="17" t="s">
        <v>648</v>
      </c>
      <c r="C421" s="286" t="s">
        <v>18</v>
      </c>
      <c r="D421" s="177">
        <v>95</v>
      </c>
      <c r="E421" s="178">
        <v>37226</v>
      </c>
      <c r="F421" s="178">
        <f t="shared" si="15"/>
        <v>3536470</v>
      </c>
      <c r="I421" s="80"/>
    </row>
    <row r="422" spans="1:9" ht="43.5" x14ac:dyDescent="0.25">
      <c r="A422" s="286">
        <v>7.3</v>
      </c>
      <c r="B422" s="17" t="s">
        <v>649</v>
      </c>
      <c r="C422" s="286" t="s">
        <v>18</v>
      </c>
      <c r="D422" s="177">
        <v>24</v>
      </c>
      <c r="E422" s="178">
        <v>22867</v>
      </c>
      <c r="F422" s="178">
        <f>+D422*E422</f>
        <v>548808</v>
      </c>
      <c r="I422" s="80"/>
    </row>
    <row r="423" spans="1:9" ht="29.25" x14ac:dyDescent="0.25">
      <c r="A423" s="286" t="s">
        <v>376</v>
      </c>
      <c r="B423" s="13" t="s">
        <v>650</v>
      </c>
      <c r="C423" s="286" t="s">
        <v>125</v>
      </c>
      <c r="D423" s="177">
        <v>4</v>
      </c>
      <c r="E423" s="178">
        <v>103880</v>
      </c>
      <c r="F423" s="178">
        <f t="shared" si="15"/>
        <v>415520</v>
      </c>
      <c r="I423" s="80"/>
    </row>
    <row r="424" spans="1:9" ht="29.25" x14ac:dyDescent="0.25">
      <c r="A424" s="286" t="s">
        <v>378</v>
      </c>
      <c r="B424" s="13" t="s">
        <v>381</v>
      </c>
      <c r="C424" s="286" t="s">
        <v>18</v>
      </c>
      <c r="D424" s="177">
        <v>1.7</v>
      </c>
      <c r="E424" s="178">
        <v>721405</v>
      </c>
      <c r="F424" s="178">
        <f t="shared" si="15"/>
        <v>1226389</v>
      </c>
      <c r="I424" s="80"/>
    </row>
    <row r="425" spans="1:9" ht="29.25" x14ac:dyDescent="0.25">
      <c r="A425" s="286" t="s">
        <v>380</v>
      </c>
      <c r="B425" s="13" t="s">
        <v>616</v>
      </c>
      <c r="C425" s="286" t="s">
        <v>125</v>
      </c>
      <c r="D425" s="177">
        <v>3</v>
      </c>
      <c r="E425" s="178">
        <v>605385</v>
      </c>
      <c r="F425" s="178">
        <f t="shared" si="15"/>
        <v>1816155</v>
      </c>
      <c r="I425" s="80"/>
    </row>
    <row r="426" spans="1:9" ht="42.75" x14ac:dyDescent="0.25">
      <c r="A426" s="222" t="s">
        <v>382</v>
      </c>
      <c r="B426" s="9" t="s">
        <v>651</v>
      </c>
      <c r="C426" s="286" t="s">
        <v>125</v>
      </c>
      <c r="D426" s="177">
        <v>2</v>
      </c>
      <c r="E426" s="178">
        <v>574732</v>
      </c>
      <c r="F426" s="178">
        <f t="shared" ref="F426:F429" si="16">ROUND(D426*E426,0)</f>
        <v>1149464</v>
      </c>
      <c r="I426" s="80"/>
    </row>
    <row r="427" spans="1:9" ht="29.25" x14ac:dyDescent="0.25">
      <c r="A427" s="286" t="s">
        <v>384</v>
      </c>
      <c r="B427" s="17" t="s">
        <v>652</v>
      </c>
      <c r="C427" s="286" t="s">
        <v>23</v>
      </c>
      <c r="D427" s="177">
        <v>18</v>
      </c>
      <c r="E427" s="178">
        <v>419235</v>
      </c>
      <c r="F427" s="178">
        <f t="shared" si="16"/>
        <v>7546230</v>
      </c>
      <c r="I427" s="80"/>
    </row>
    <row r="428" spans="1:9" ht="43.5" x14ac:dyDescent="0.25">
      <c r="A428" s="328" t="s">
        <v>386</v>
      </c>
      <c r="B428" s="17" t="s">
        <v>653</v>
      </c>
      <c r="C428" s="286" t="s">
        <v>125</v>
      </c>
      <c r="D428" s="177">
        <v>18</v>
      </c>
      <c r="E428" s="178">
        <v>66314</v>
      </c>
      <c r="F428" s="178">
        <f t="shared" si="16"/>
        <v>1193652</v>
      </c>
      <c r="I428" s="80"/>
    </row>
    <row r="429" spans="1:9" ht="72" x14ac:dyDescent="0.25">
      <c r="A429" s="329" t="s">
        <v>388</v>
      </c>
      <c r="B429" s="17" t="s">
        <v>389</v>
      </c>
      <c r="C429" s="286" t="s">
        <v>125</v>
      </c>
      <c r="D429" s="177">
        <v>4</v>
      </c>
      <c r="E429" s="178">
        <v>1875342</v>
      </c>
      <c r="F429" s="178">
        <f t="shared" si="16"/>
        <v>7501368</v>
      </c>
      <c r="I429" s="80"/>
    </row>
    <row r="430" spans="1:9" x14ac:dyDescent="0.25">
      <c r="A430" s="286">
        <v>8</v>
      </c>
      <c r="B430" s="194" t="s">
        <v>394</v>
      </c>
      <c r="C430" s="286"/>
      <c r="D430" s="177"/>
      <c r="E430" s="178" t="s">
        <v>1</v>
      </c>
      <c r="F430" s="178"/>
      <c r="I430" s="80"/>
    </row>
    <row r="431" spans="1:9" ht="29.25" x14ac:dyDescent="0.25">
      <c r="A431" s="286" t="s">
        <v>395</v>
      </c>
      <c r="B431" s="13" t="s">
        <v>396</v>
      </c>
      <c r="C431" s="286" t="s">
        <v>18</v>
      </c>
      <c r="D431" s="177">
        <v>456.4</v>
      </c>
      <c r="E431" s="178">
        <v>14248</v>
      </c>
      <c r="F431" s="178">
        <f t="shared" ref="F431:F435" si="17">ROUND(D431*E431,0)</f>
        <v>6502787</v>
      </c>
      <c r="I431" s="80"/>
    </row>
    <row r="432" spans="1:9" ht="57" x14ac:dyDescent="0.25">
      <c r="A432" s="286" t="s">
        <v>397</v>
      </c>
      <c r="B432" s="9" t="s">
        <v>654</v>
      </c>
      <c r="C432" s="286" t="s">
        <v>115</v>
      </c>
      <c r="D432" s="177">
        <v>32.9</v>
      </c>
      <c r="E432" s="178">
        <v>1114387</v>
      </c>
      <c r="F432" s="178">
        <f t="shared" si="17"/>
        <v>36663332</v>
      </c>
      <c r="I432" s="80"/>
    </row>
    <row r="433" spans="1:9" ht="29.25" x14ac:dyDescent="0.25">
      <c r="A433" s="286">
        <v>8.3000000000000007</v>
      </c>
      <c r="B433" s="13" t="s">
        <v>655</v>
      </c>
      <c r="C433" s="286" t="s">
        <v>20</v>
      </c>
      <c r="D433" s="177">
        <v>300.10000000000002</v>
      </c>
      <c r="E433" s="178">
        <v>12189</v>
      </c>
      <c r="F433" s="178">
        <f t="shared" si="17"/>
        <v>3657919</v>
      </c>
      <c r="I433" s="80"/>
    </row>
    <row r="434" spans="1:9" ht="29.25" x14ac:dyDescent="0.25">
      <c r="A434" s="286" t="s">
        <v>416</v>
      </c>
      <c r="B434" s="330" t="s">
        <v>656</v>
      </c>
      <c r="C434" s="286" t="s">
        <v>115</v>
      </c>
      <c r="D434" s="177">
        <v>1.2</v>
      </c>
      <c r="E434" s="178">
        <v>761635</v>
      </c>
      <c r="F434" s="178">
        <f t="shared" si="17"/>
        <v>913962</v>
      </c>
      <c r="I434" s="80"/>
    </row>
    <row r="435" spans="1:9" ht="57.75" x14ac:dyDescent="0.25">
      <c r="A435" s="286" t="s">
        <v>417</v>
      </c>
      <c r="B435" s="13" t="s">
        <v>641</v>
      </c>
      <c r="C435" s="286" t="s">
        <v>20</v>
      </c>
      <c r="D435" s="177">
        <v>45</v>
      </c>
      <c r="E435" s="178">
        <v>71594</v>
      </c>
      <c r="F435" s="178">
        <f t="shared" si="17"/>
        <v>3221730</v>
      </c>
      <c r="I435" s="80"/>
    </row>
    <row r="436" spans="1:9" x14ac:dyDescent="0.25">
      <c r="A436" s="219"/>
      <c r="B436" s="18" t="s">
        <v>56</v>
      </c>
      <c r="C436" s="54"/>
      <c r="D436" s="130"/>
      <c r="E436" s="28"/>
      <c r="F436" s="79">
        <f>SUM(F399:F435)</f>
        <v>141811031</v>
      </c>
    </row>
    <row r="437" spans="1:9" x14ac:dyDescent="0.25">
      <c r="A437" s="19"/>
      <c r="B437" s="19" t="s">
        <v>60</v>
      </c>
      <c r="C437" s="19"/>
      <c r="D437" s="19"/>
      <c r="E437" s="19"/>
      <c r="F437" s="29">
        <f>ROUND(F436/1.3495,0)</f>
        <v>105084128</v>
      </c>
    </row>
    <row r="438" spans="1:9" x14ac:dyDescent="0.25">
      <c r="A438" s="19"/>
      <c r="B438" s="19" t="s">
        <v>61</v>
      </c>
      <c r="C438" s="131">
        <v>0.24</v>
      </c>
      <c r="D438" s="19"/>
      <c r="E438" s="19"/>
      <c r="F438" s="29">
        <f>ROUND(F437*C438,0)</f>
        <v>25220191</v>
      </c>
    </row>
    <row r="439" spans="1:9" x14ac:dyDescent="0.25">
      <c r="A439" s="19"/>
      <c r="B439" s="19" t="s">
        <v>57</v>
      </c>
      <c r="C439" s="131">
        <v>0.05</v>
      </c>
      <c r="D439" s="19"/>
      <c r="E439" s="19"/>
      <c r="F439" s="29">
        <f>ROUND(F437*C439,0)</f>
        <v>5254206</v>
      </c>
    </row>
    <row r="440" spans="1:9" x14ac:dyDescent="0.25">
      <c r="A440" s="19"/>
      <c r="B440" s="19" t="s">
        <v>62</v>
      </c>
      <c r="C440" s="131">
        <v>0.05</v>
      </c>
      <c r="D440" s="19"/>
      <c r="E440" s="19"/>
      <c r="F440" s="29">
        <f>ROUND(F437*C440,0)</f>
        <v>5254206</v>
      </c>
    </row>
    <row r="441" spans="1:9" x14ac:dyDescent="0.25">
      <c r="A441" s="19"/>
      <c r="B441" s="132" t="s">
        <v>63</v>
      </c>
      <c r="C441" s="133">
        <v>0.19</v>
      </c>
      <c r="D441" s="120"/>
      <c r="E441" s="120"/>
      <c r="F441" s="35">
        <f>ROUND(F440*19%,0)</f>
        <v>998299</v>
      </c>
    </row>
    <row r="442" spans="1:9" x14ac:dyDescent="0.25">
      <c r="A442" s="19"/>
      <c r="B442" s="18" t="s">
        <v>56</v>
      </c>
      <c r="C442" s="19"/>
      <c r="D442" s="19"/>
      <c r="E442" s="19"/>
      <c r="F442" s="30">
        <f>SUM(F437:F441)</f>
        <v>141811030</v>
      </c>
    </row>
    <row r="444" spans="1:9" ht="53.25" customHeight="1" x14ac:dyDescent="0.25">
      <c r="A444" s="489" t="s">
        <v>989</v>
      </c>
      <c r="B444" s="489"/>
      <c r="C444" s="489"/>
      <c r="D444" s="489"/>
      <c r="E444" s="489"/>
      <c r="F444" s="489"/>
    </row>
    <row r="445" spans="1:9" x14ac:dyDescent="0.25">
      <c r="A445" s="324" t="s">
        <v>421</v>
      </c>
      <c r="B445" s="324" t="s">
        <v>422</v>
      </c>
      <c r="C445" s="324" t="s">
        <v>423</v>
      </c>
      <c r="D445" s="324" t="s">
        <v>13</v>
      </c>
      <c r="E445" s="324" t="s">
        <v>424</v>
      </c>
      <c r="F445" s="324" t="s">
        <v>425</v>
      </c>
    </row>
    <row r="446" spans="1:9" x14ac:dyDescent="0.25">
      <c r="A446" s="222" t="s">
        <v>338</v>
      </c>
      <c r="B446" s="20" t="s">
        <v>16</v>
      </c>
      <c r="C446" s="222"/>
      <c r="D446" s="186"/>
      <c r="E446" s="187"/>
      <c r="F446" s="187"/>
    </row>
    <row r="447" spans="1:9" ht="42.75" x14ac:dyDescent="0.25">
      <c r="A447" s="222" t="s">
        <v>339</v>
      </c>
      <c r="B447" s="132" t="s">
        <v>599</v>
      </c>
      <c r="C447" s="222" t="s">
        <v>341</v>
      </c>
      <c r="D447" s="186">
        <v>120</v>
      </c>
      <c r="E447" s="187">
        <v>7552</v>
      </c>
      <c r="F447" s="187">
        <f>ROUND(D447*E447,0)</f>
        <v>906240</v>
      </c>
      <c r="I447" s="80"/>
    </row>
    <row r="448" spans="1:9" ht="42.75" x14ac:dyDescent="0.25">
      <c r="A448" s="222" t="s">
        <v>342</v>
      </c>
      <c r="B448" s="9" t="s">
        <v>657</v>
      </c>
      <c r="C448" s="222" t="s">
        <v>341</v>
      </c>
      <c r="D448" s="186">
        <v>136</v>
      </c>
      <c r="E448" s="187">
        <v>12418</v>
      </c>
      <c r="F448" s="187">
        <f>ROUND(D448*E448,0)</f>
        <v>1688848</v>
      </c>
      <c r="I448" s="80"/>
    </row>
    <row r="449" spans="1:9" ht="42.75" x14ac:dyDescent="0.25">
      <c r="A449" s="222" t="s">
        <v>405</v>
      </c>
      <c r="B449" s="9" t="s">
        <v>658</v>
      </c>
      <c r="C449" s="222" t="s">
        <v>125</v>
      </c>
      <c r="D449" s="186">
        <v>2</v>
      </c>
      <c r="E449" s="187">
        <v>243668</v>
      </c>
      <c r="F449" s="187">
        <f t="shared" ref="F449" si="18">ROUND(D449*E449,0)</f>
        <v>487336</v>
      </c>
      <c r="I449" s="80"/>
    </row>
    <row r="450" spans="1:9" x14ac:dyDescent="0.25">
      <c r="A450" s="222">
        <v>2</v>
      </c>
      <c r="B450" s="20" t="s">
        <v>347</v>
      </c>
      <c r="C450" s="222"/>
      <c r="D450" s="186"/>
      <c r="E450" s="187" t="s">
        <v>1</v>
      </c>
      <c r="F450" s="187"/>
      <c r="I450" s="80"/>
    </row>
    <row r="451" spans="1:9" x14ac:dyDescent="0.25">
      <c r="A451" s="222" t="s">
        <v>348</v>
      </c>
      <c r="B451" s="120" t="s">
        <v>349</v>
      </c>
      <c r="C451" s="222" t="s">
        <v>115</v>
      </c>
      <c r="D451" s="186">
        <v>15.84</v>
      </c>
      <c r="E451" s="187">
        <v>141463</v>
      </c>
      <c r="F451" s="187">
        <f>ROUND(D451*E451,0)</f>
        <v>2240774</v>
      </c>
      <c r="I451" s="80"/>
    </row>
    <row r="452" spans="1:9" ht="28.5" x14ac:dyDescent="0.25">
      <c r="A452" s="222">
        <v>2.2000000000000002</v>
      </c>
      <c r="B452" s="9" t="s">
        <v>626</v>
      </c>
      <c r="C452" s="222" t="s">
        <v>115</v>
      </c>
      <c r="D452" s="186">
        <v>1</v>
      </c>
      <c r="E452" s="187">
        <v>114584</v>
      </c>
      <c r="F452" s="187">
        <f>ROUND(D452*E452,0)</f>
        <v>114584</v>
      </c>
      <c r="I452" s="80"/>
    </row>
    <row r="453" spans="1:9" ht="28.5" x14ac:dyDescent="0.25">
      <c r="A453" s="222">
        <v>2.2999999999999998</v>
      </c>
      <c r="B453" s="9" t="s">
        <v>464</v>
      </c>
      <c r="C453" s="222" t="s">
        <v>115</v>
      </c>
      <c r="D453" s="186">
        <v>1.47</v>
      </c>
      <c r="E453" s="187">
        <v>107656</v>
      </c>
      <c r="F453" s="187">
        <f>ROUND(D453*E453,0)</f>
        <v>158254</v>
      </c>
      <c r="I453" s="80"/>
    </row>
    <row r="454" spans="1:9" x14ac:dyDescent="0.25">
      <c r="A454" s="222">
        <v>3</v>
      </c>
      <c r="B454" s="20" t="s">
        <v>353</v>
      </c>
      <c r="C454" s="222"/>
      <c r="D454" s="186"/>
      <c r="E454" s="187" t="s">
        <v>1</v>
      </c>
      <c r="F454" s="187"/>
      <c r="I454" s="80"/>
    </row>
    <row r="455" spans="1:9" ht="28.5" x14ac:dyDescent="0.25">
      <c r="A455" s="222" t="s">
        <v>354</v>
      </c>
      <c r="B455" s="132" t="s">
        <v>355</v>
      </c>
      <c r="C455" s="222" t="s">
        <v>115</v>
      </c>
      <c r="D455" s="186">
        <v>94.9</v>
      </c>
      <c r="E455" s="187">
        <v>36641</v>
      </c>
      <c r="F455" s="187">
        <f>ROUND(D455*E455,0)</f>
        <v>3477231</v>
      </c>
      <c r="I455" s="80"/>
    </row>
    <row r="456" spans="1:9" x14ac:dyDescent="0.25">
      <c r="A456" s="222">
        <v>4</v>
      </c>
      <c r="B456" s="20" t="s">
        <v>356</v>
      </c>
      <c r="C456" s="222"/>
      <c r="D456" s="186"/>
      <c r="E456" s="187" t="s">
        <v>1</v>
      </c>
      <c r="F456" s="187"/>
      <c r="I456" s="80"/>
    </row>
    <row r="457" spans="1:9" ht="28.5" x14ac:dyDescent="0.25">
      <c r="A457" s="222" t="s">
        <v>357</v>
      </c>
      <c r="B457" s="9" t="s">
        <v>358</v>
      </c>
      <c r="C457" s="222" t="s">
        <v>115</v>
      </c>
      <c r="D457" s="186">
        <v>100.26</v>
      </c>
      <c r="E457" s="187">
        <v>30196</v>
      </c>
      <c r="F457" s="187">
        <f>ROUND(D457*E457,0)</f>
        <v>3027451</v>
      </c>
      <c r="I457" s="80"/>
    </row>
    <row r="458" spans="1:9" x14ac:dyDescent="0.25">
      <c r="A458" s="222" t="s">
        <v>543</v>
      </c>
      <c r="B458" s="120" t="s">
        <v>659</v>
      </c>
      <c r="C458" s="222" t="s">
        <v>115</v>
      </c>
      <c r="D458" s="186">
        <v>32.82</v>
      </c>
      <c r="E458" s="187">
        <v>34497</v>
      </c>
      <c r="F458" s="187">
        <f>ROUND(D458*E458,0)</f>
        <v>1132192</v>
      </c>
      <c r="I458" s="80"/>
    </row>
    <row r="459" spans="1:9" x14ac:dyDescent="0.25">
      <c r="A459" s="222" t="s">
        <v>602</v>
      </c>
      <c r="B459" s="120" t="s">
        <v>660</v>
      </c>
      <c r="C459" s="222" t="s">
        <v>18</v>
      </c>
      <c r="D459" s="186">
        <v>40</v>
      </c>
      <c r="E459" s="187">
        <v>35903</v>
      </c>
      <c r="F459" s="187">
        <f>ROUND(D459*E459,0)</f>
        <v>1436120</v>
      </c>
      <c r="I459" s="80"/>
    </row>
    <row r="460" spans="1:9" x14ac:dyDescent="0.25">
      <c r="A460" s="222">
        <v>5</v>
      </c>
      <c r="B460" s="20" t="s">
        <v>361</v>
      </c>
      <c r="C460" s="222"/>
      <c r="D460" s="186"/>
      <c r="E460" s="187" t="s">
        <v>1</v>
      </c>
      <c r="F460" s="187"/>
      <c r="I460" s="80"/>
    </row>
    <row r="461" spans="1:9" ht="28.5" x14ac:dyDescent="0.25">
      <c r="A461" s="222" t="s">
        <v>362</v>
      </c>
      <c r="B461" s="9" t="s">
        <v>363</v>
      </c>
      <c r="C461" s="222" t="s">
        <v>115</v>
      </c>
      <c r="D461" s="186">
        <v>69.16</v>
      </c>
      <c r="E461" s="187">
        <v>24785</v>
      </c>
      <c r="F461" s="187">
        <f>ROUND(D461*E461,0)</f>
        <v>1714131</v>
      </c>
      <c r="I461" s="80"/>
    </row>
    <row r="462" spans="1:9" ht="28.5" x14ac:dyDescent="0.25">
      <c r="A462" s="222" t="s">
        <v>364</v>
      </c>
      <c r="B462" s="9" t="s">
        <v>365</v>
      </c>
      <c r="C462" s="222" t="s">
        <v>115</v>
      </c>
      <c r="D462" s="186">
        <v>17.7</v>
      </c>
      <c r="E462" s="187">
        <v>106445</v>
      </c>
      <c r="F462" s="187">
        <f>ROUND(D462*E462,0)</f>
        <v>1884077</v>
      </c>
      <c r="I462" s="80"/>
    </row>
    <row r="463" spans="1:9" ht="30" x14ac:dyDescent="0.25">
      <c r="A463" s="222">
        <v>6</v>
      </c>
      <c r="B463" s="195" t="s">
        <v>366</v>
      </c>
      <c r="C463" s="222"/>
      <c r="D463" s="186"/>
      <c r="E463" s="187" t="s">
        <v>1</v>
      </c>
      <c r="F463" s="187"/>
      <c r="I463" s="80"/>
    </row>
    <row r="464" spans="1:9" ht="42.75" x14ac:dyDescent="0.25">
      <c r="A464" s="222" t="s">
        <v>367</v>
      </c>
      <c r="B464" s="9" t="s">
        <v>661</v>
      </c>
      <c r="C464" s="222" t="s">
        <v>115</v>
      </c>
      <c r="D464" s="186">
        <v>19.8</v>
      </c>
      <c r="E464" s="187">
        <v>190032</v>
      </c>
      <c r="F464" s="187">
        <f>ROUND(D464*E464,0)</f>
        <v>3762634</v>
      </c>
      <c r="I464" s="80"/>
    </row>
    <row r="465" spans="1:9" ht="28.5" x14ac:dyDescent="0.25">
      <c r="A465" s="222" t="s">
        <v>547</v>
      </c>
      <c r="B465" s="132" t="s">
        <v>662</v>
      </c>
      <c r="C465" s="222" t="s">
        <v>115</v>
      </c>
      <c r="D465" s="186">
        <v>31.1</v>
      </c>
      <c r="E465" s="187">
        <v>100848</v>
      </c>
      <c r="F465" s="187">
        <f>ROUND(D465*E465,0)</f>
        <v>3136373</v>
      </c>
      <c r="I465" s="80"/>
    </row>
    <row r="466" spans="1:9" ht="28.5" x14ac:dyDescent="0.25">
      <c r="A466" s="222" t="s">
        <v>467</v>
      </c>
      <c r="B466" s="132" t="s">
        <v>663</v>
      </c>
      <c r="C466" s="222" t="s">
        <v>115</v>
      </c>
      <c r="D466" s="186">
        <v>3.47</v>
      </c>
      <c r="E466" s="187">
        <v>99425</v>
      </c>
      <c r="F466" s="187">
        <f>ROUND(D466*E466,0)</f>
        <v>345005</v>
      </c>
      <c r="I466" s="80"/>
    </row>
    <row r="467" spans="1:9" x14ac:dyDescent="0.25">
      <c r="A467" s="222">
        <v>7</v>
      </c>
      <c r="B467" s="20" t="s">
        <v>371</v>
      </c>
      <c r="C467" s="222"/>
      <c r="D467" s="186"/>
      <c r="E467" s="187" t="s">
        <v>1</v>
      </c>
      <c r="F467" s="187"/>
      <c r="I467" s="80"/>
    </row>
    <row r="468" spans="1:9" ht="42.75" x14ac:dyDescent="0.25">
      <c r="A468" s="222" t="s">
        <v>372</v>
      </c>
      <c r="B468" s="9" t="s">
        <v>664</v>
      </c>
      <c r="C468" s="222" t="s">
        <v>18</v>
      </c>
      <c r="D468" s="186">
        <v>54</v>
      </c>
      <c r="E468" s="187">
        <v>13960</v>
      </c>
      <c r="F468" s="187">
        <f>ROUND(D468*E468,0)</f>
        <v>753840</v>
      </c>
      <c r="I468" s="80"/>
    </row>
    <row r="469" spans="1:9" ht="42.75" x14ac:dyDescent="0.25">
      <c r="A469" s="222" t="s">
        <v>411</v>
      </c>
      <c r="B469" s="9" t="s">
        <v>665</v>
      </c>
      <c r="C469" s="222" t="s">
        <v>18</v>
      </c>
      <c r="D469" s="186">
        <v>66</v>
      </c>
      <c r="E469" s="187">
        <v>27441</v>
      </c>
      <c r="F469" s="187">
        <f>ROUND(D469*E469,0)</f>
        <v>1811106</v>
      </c>
      <c r="I469" s="80"/>
    </row>
    <row r="470" spans="1:9" ht="42.75" x14ac:dyDescent="0.25">
      <c r="A470" s="222">
        <v>7.3</v>
      </c>
      <c r="B470" s="9" t="s">
        <v>666</v>
      </c>
      <c r="C470" s="222" t="s">
        <v>18</v>
      </c>
      <c r="D470" s="186">
        <v>12</v>
      </c>
      <c r="E470" s="187">
        <v>22867</v>
      </c>
      <c r="F470" s="187">
        <f>+D470*E470</f>
        <v>274404</v>
      </c>
      <c r="I470" s="80"/>
    </row>
    <row r="471" spans="1:9" x14ac:dyDescent="0.25">
      <c r="A471" s="222" t="s">
        <v>376</v>
      </c>
      <c r="B471" s="120" t="s">
        <v>573</v>
      </c>
      <c r="C471" s="222" t="s">
        <v>125</v>
      </c>
      <c r="D471" s="186">
        <v>2</v>
      </c>
      <c r="E471" s="187">
        <v>103880</v>
      </c>
      <c r="F471" s="187">
        <f t="shared" ref="F471:F478" si="19">ROUND(D471*E471,0)</f>
        <v>207760</v>
      </c>
      <c r="I471" s="80"/>
    </row>
    <row r="472" spans="1:9" ht="28.5" x14ac:dyDescent="0.25">
      <c r="A472" s="222" t="s">
        <v>378</v>
      </c>
      <c r="B472" s="132" t="s">
        <v>667</v>
      </c>
      <c r="C472" s="222" t="s">
        <v>125</v>
      </c>
      <c r="D472" s="186">
        <v>10</v>
      </c>
      <c r="E472" s="187">
        <v>62750</v>
      </c>
      <c r="F472" s="187">
        <f t="shared" si="19"/>
        <v>627500</v>
      </c>
      <c r="I472" s="80"/>
    </row>
    <row r="473" spans="1:9" ht="28.5" x14ac:dyDescent="0.25">
      <c r="A473" s="222" t="s">
        <v>380</v>
      </c>
      <c r="B473" s="132" t="s">
        <v>616</v>
      </c>
      <c r="C473" s="222" t="s">
        <v>125</v>
      </c>
      <c r="D473" s="186">
        <v>2</v>
      </c>
      <c r="E473" s="187">
        <v>605385</v>
      </c>
      <c r="F473" s="187">
        <f t="shared" si="19"/>
        <v>1210770</v>
      </c>
      <c r="I473" s="80"/>
    </row>
    <row r="474" spans="1:9" ht="42.75" x14ac:dyDescent="0.25">
      <c r="A474" s="222" t="s">
        <v>382</v>
      </c>
      <c r="B474" s="9" t="s">
        <v>668</v>
      </c>
      <c r="C474" s="222" t="s">
        <v>18</v>
      </c>
      <c r="D474" s="186">
        <v>1.8</v>
      </c>
      <c r="E474" s="187">
        <v>721405</v>
      </c>
      <c r="F474" s="187">
        <f t="shared" si="19"/>
        <v>1298529</v>
      </c>
      <c r="I474" s="80"/>
    </row>
    <row r="475" spans="1:9" ht="28.5" x14ac:dyDescent="0.25">
      <c r="A475" s="222" t="s">
        <v>384</v>
      </c>
      <c r="B475" s="132" t="s">
        <v>669</v>
      </c>
      <c r="C475" s="222" t="s">
        <v>125</v>
      </c>
      <c r="D475" s="186">
        <v>2</v>
      </c>
      <c r="E475" s="187">
        <v>574732</v>
      </c>
      <c r="F475" s="187">
        <f t="shared" si="19"/>
        <v>1149464</v>
      </c>
      <c r="I475" s="80"/>
    </row>
    <row r="476" spans="1:9" ht="42.75" x14ac:dyDescent="0.25">
      <c r="A476" s="222" t="s">
        <v>386</v>
      </c>
      <c r="B476" s="9" t="s">
        <v>670</v>
      </c>
      <c r="C476" s="222" t="s">
        <v>23</v>
      </c>
      <c r="D476" s="186">
        <v>30</v>
      </c>
      <c r="E476" s="187">
        <v>419235</v>
      </c>
      <c r="F476" s="187">
        <f t="shared" si="19"/>
        <v>12577050</v>
      </c>
      <c r="I476" s="80"/>
    </row>
    <row r="477" spans="1:9" x14ac:dyDescent="0.25">
      <c r="A477" s="331" t="s">
        <v>388</v>
      </c>
      <c r="B477" s="120" t="s">
        <v>671</v>
      </c>
      <c r="C477" s="222" t="s">
        <v>125</v>
      </c>
      <c r="D477" s="186">
        <v>30</v>
      </c>
      <c r="E477" s="187">
        <v>66314</v>
      </c>
      <c r="F477" s="187">
        <f t="shared" si="19"/>
        <v>1989420</v>
      </c>
      <c r="I477" s="80"/>
    </row>
    <row r="478" spans="1:9" ht="71.25" x14ac:dyDescent="0.25">
      <c r="A478" s="331" t="s">
        <v>390</v>
      </c>
      <c r="B478" s="9" t="s">
        <v>389</v>
      </c>
      <c r="C478" s="222" t="s">
        <v>125</v>
      </c>
      <c r="D478" s="186">
        <v>2</v>
      </c>
      <c r="E478" s="187">
        <v>1875342</v>
      </c>
      <c r="F478" s="187">
        <f t="shared" si="19"/>
        <v>3750684</v>
      </c>
      <c r="I478" s="80"/>
    </row>
    <row r="479" spans="1:9" x14ac:dyDescent="0.25">
      <c r="A479" s="222">
        <v>8</v>
      </c>
      <c r="B479" s="20" t="s">
        <v>394</v>
      </c>
      <c r="C479" s="222"/>
      <c r="D479" s="186"/>
      <c r="E479" s="187" t="s">
        <v>1</v>
      </c>
      <c r="F479" s="187"/>
      <c r="I479" s="80"/>
    </row>
    <row r="480" spans="1:9" ht="28.5" x14ac:dyDescent="0.25">
      <c r="A480" s="222" t="s">
        <v>395</v>
      </c>
      <c r="B480" s="132" t="s">
        <v>396</v>
      </c>
      <c r="C480" s="222" t="s">
        <v>18</v>
      </c>
      <c r="D480" s="186">
        <v>91.4</v>
      </c>
      <c r="E480" s="187">
        <v>14248</v>
      </c>
      <c r="F480" s="187">
        <f>ROUND(D480*E480,0)</f>
        <v>1302267</v>
      </c>
      <c r="I480" s="80"/>
    </row>
    <row r="481" spans="1:9" ht="71.25" x14ac:dyDescent="0.25">
      <c r="A481" s="222" t="s">
        <v>397</v>
      </c>
      <c r="B481" s="9" t="s">
        <v>672</v>
      </c>
      <c r="C481" s="222" t="s">
        <v>115</v>
      </c>
      <c r="D481" s="186">
        <v>14.52</v>
      </c>
      <c r="E481" s="187">
        <v>927471</v>
      </c>
      <c r="F481" s="187">
        <f t="shared" ref="F481:F483" si="20">ROUND(D481*E481,0)</f>
        <v>13466879</v>
      </c>
      <c r="I481" s="80"/>
    </row>
    <row r="482" spans="1:9" ht="28.5" x14ac:dyDescent="0.25">
      <c r="A482" s="222" t="s">
        <v>416</v>
      </c>
      <c r="B482" s="196" t="s">
        <v>639</v>
      </c>
      <c r="C482" s="222" t="s">
        <v>115</v>
      </c>
      <c r="D482" s="186">
        <v>4.47</v>
      </c>
      <c r="E482" s="187">
        <v>761639</v>
      </c>
      <c r="F482" s="187">
        <f t="shared" si="20"/>
        <v>3404526</v>
      </c>
      <c r="I482" s="80"/>
    </row>
    <row r="483" spans="1:9" ht="57" x14ac:dyDescent="0.25">
      <c r="A483" s="222" t="s">
        <v>417</v>
      </c>
      <c r="B483" s="132" t="s">
        <v>641</v>
      </c>
      <c r="C483" s="222" t="s">
        <v>20</v>
      </c>
      <c r="D483" s="186">
        <v>25</v>
      </c>
      <c r="E483" s="187">
        <v>71594</v>
      </c>
      <c r="F483" s="187">
        <f t="shared" si="20"/>
        <v>1789850</v>
      </c>
      <c r="I483" s="80"/>
    </row>
    <row r="484" spans="1:9" x14ac:dyDescent="0.25">
      <c r="A484" s="219"/>
      <c r="B484" s="18" t="s">
        <v>56</v>
      </c>
      <c r="C484" s="54"/>
      <c r="D484" s="130"/>
      <c r="E484" s="28"/>
      <c r="F484" s="79">
        <f>SUM(F446:F483)</f>
        <v>71125299</v>
      </c>
    </row>
    <row r="485" spans="1:9" x14ac:dyDescent="0.25">
      <c r="A485" s="19"/>
      <c r="B485" s="19" t="s">
        <v>60</v>
      </c>
      <c r="C485" s="19"/>
      <c r="D485" s="19"/>
      <c r="E485" s="19"/>
      <c r="F485" s="29">
        <f>ROUND(F484/1.3495,0)</f>
        <v>52704927</v>
      </c>
    </row>
    <row r="486" spans="1:9" x14ac:dyDescent="0.25">
      <c r="A486" s="19"/>
      <c r="B486" s="19" t="s">
        <v>61</v>
      </c>
      <c r="C486" s="131">
        <v>0.24</v>
      </c>
      <c r="D486" s="19"/>
      <c r="E486" s="19"/>
      <c r="F486" s="29">
        <f>ROUND(F485*C486,0)</f>
        <v>12649182</v>
      </c>
    </row>
    <row r="487" spans="1:9" x14ac:dyDescent="0.25">
      <c r="A487" s="19"/>
      <c r="B487" s="19" t="s">
        <v>57</v>
      </c>
      <c r="C487" s="131">
        <v>0.05</v>
      </c>
      <c r="D487" s="19"/>
      <c r="E487" s="19"/>
      <c r="F487" s="29">
        <f>ROUND(F485*C487,0)</f>
        <v>2635246</v>
      </c>
    </row>
    <row r="488" spans="1:9" x14ac:dyDescent="0.25">
      <c r="A488" s="19"/>
      <c r="B488" s="19" t="s">
        <v>62</v>
      </c>
      <c r="C488" s="131">
        <v>0.05</v>
      </c>
      <c r="D488" s="19"/>
      <c r="E488" s="19"/>
      <c r="F488" s="29">
        <f>ROUND(F485*C488,0)</f>
        <v>2635246</v>
      </c>
    </row>
    <row r="489" spans="1:9" x14ac:dyDescent="0.25">
      <c r="A489" s="19"/>
      <c r="B489" s="132" t="s">
        <v>63</v>
      </c>
      <c r="C489" s="133">
        <v>0.19</v>
      </c>
      <c r="D489" s="120"/>
      <c r="E489" s="120"/>
      <c r="F489" s="35">
        <f>ROUND(F488*19%,0)</f>
        <v>500697</v>
      </c>
    </row>
    <row r="490" spans="1:9" x14ac:dyDescent="0.25">
      <c r="A490" s="19"/>
      <c r="B490" s="18" t="s">
        <v>56</v>
      </c>
      <c r="C490" s="19"/>
      <c r="D490" s="19"/>
      <c r="E490" s="19"/>
      <c r="F490" s="30">
        <f>SUM(F485:F489)</f>
        <v>71125298</v>
      </c>
    </row>
    <row r="492" spans="1:9" ht="60.75" customHeight="1" x14ac:dyDescent="0.25">
      <c r="A492" s="431" t="s">
        <v>990</v>
      </c>
      <c r="B492" s="432"/>
      <c r="C492" s="432"/>
      <c r="D492" s="432"/>
      <c r="E492" s="432"/>
      <c r="F492" s="433"/>
    </row>
    <row r="493" spans="1:9" x14ac:dyDescent="0.25">
      <c r="A493" s="420" t="s">
        <v>10</v>
      </c>
      <c r="B493" s="420" t="s">
        <v>0</v>
      </c>
      <c r="C493" s="420" t="s">
        <v>11</v>
      </c>
      <c r="D493" s="420" t="s">
        <v>12</v>
      </c>
      <c r="E493" s="420"/>
      <c r="F493" s="420"/>
    </row>
    <row r="494" spans="1:9" x14ac:dyDescent="0.25">
      <c r="A494" s="420"/>
      <c r="B494" s="420"/>
      <c r="C494" s="420"/>
      <c r="D494" s="54" t="s">
        <v>13</v>
      </c>
      <c r="E494" s="54" t="s">
        <v>14</v>
      </c>
      <c r="F494" s="54" t="s">
        <v>15</v>
      </c>
    </row>
    <row r="495" spans="1:9" x14ac:dyDescent="0.25">
      <c r="A495" s="222">
        <v>1</v>
      </c>
      <c r="B495" s="18" t="s">
        <v>25</v>
      </c>
      <c r="C495" s="54"/>
      <c r="D495" s="54"/>
      <c r="E495" s="54"/>
      <c r="F495" s="54"/>
    </row>
    <row r="496" spans="1:9" x14ac:dyDescent="0.25">
      <c r="A496" s="222">
        <v>1.1000000000000001</v>
      </c>
      <c r="B496" s="17" t="s">
        <v>673</v>
      </c>
      <c r="C496" s="286" t="s">
        <v>64</v>
      </c>
      <c r="D496" s="332">
        <v>1.5</v>
      </c>
      <c r="E496" s="58">
        <v>83312</v>
      </c>
      <c r="F496" s="187">
        <f t="shared" ref="F496:F508" si="21">ROUND(D496*E496,0)</f>
        <v>124968</v>
      </c>
    </row>
    <row r="497" spans="1:6" x14ac:dyDescent="0.25">
      <c r="A497" s="222">
        <v>2</v>
      </c>
      <c r="B497" s="18" t="s">
        <v>28</v>
      </c>
      <c r="C497" s="54"/>
      <c r="D497" s="333"/>
      <c r="E497" s="334"/>
      <c r="F497" s="187" t="s">
        <v>1</v>
      </c>
    </row>
    <row r="498" spans="1:6" ht="29.25" x14ac:dyDescent="0.25">
      <c r="A498" s="222">
        <v>2.1</v>
      </c>
      <c r="B498" s="17" t="s">
        <v>674</v>
      </c>
      <c r="C498" s="286" t="s">
        <v>64</v>
      </c>
      <c r="D498" s="332">
        <v>2</v>
      </c>
      <c r="E498" s="58">
        <v>26317</v>
      </c>
      <c r="F498" s="187">
        <f t="shared" si="21"/>
        <v>52634</v>
      </c>
    </row>
    <row r="499" spans="1:6" ht="30" x14ac:dyDescent="0.25">
      <c r="A499" s="222">
        <v>3</v>
      </c>
      <c r="B499" s="188" t="s">
        <v>33</v>
      </c>
      <c r="C499" s="286"/>
      <c r="D499" s="332"/>
      <c r="E499" s="58"/>
      <c r="F499" s="187" t="s">
        <v>1</v>
      </c>
    </row>
    <row r="500" spans="1:6" ht="43.5" x14ac:dyDescent="0.25">
      <c r="A500" s="222">
        <v>3.1</v>
      </c>
      <c r="B500" s="17" t="s">
        <v>675</v>
      </c>
      <c r="C500" s="286" t="s">
        <v>37</v>
      </c>
      <c r="D500" s="332">
        <v>1</v>
      </c>
      <c r="E500" s="58">
        <v>777600</v>
      </c>
      <c r="F500" s="187">
        <f t="shared" si="21"/>
        <v>777600</v>
      </c>
    </row>
    <row r="501" spans="1:6" x14ac:dyDescent="0.25">
      <c r="A501" s="222">
        <v>4</v>
      </c>
      <c r="B501" s="18" t="s">
        <v>48</v>
      </c>
      <c r="C501" s="286"/>
      <c r="D501" s="332"/>
      <c r="E501" s="58"/>
      <c r="F501" s="187" t="s">
        <v>1</v>
      </c>
    </row>
    <row r="502" spans="1:6" ht="29.25" x14ac:dyDescent="0.25">
      <c r="A502" s="222">
        <v>4.0999999999999996</v>
      </c>
      <c r="B502" s="17" t="s">
        <v>676</v>
      </c>
      <c r="C502" s="286" t="s">
        <v>64</v>
      </c>
      <c r="D502" s="332">
        <v>0.5</v>
      </c>
      <c r="E502" s="58">
        <v>822268</v>
      </c>
      <c r="F502" s="187">
        <f t="shared" si="21"/>
        <v>411134</v>
      </c>
    </row>
    <row r="503" spans="1:6" ht="42.75" x14ac:dyDescent="0.25">
      <c r="A503" s="286">
        <v>4.2</v>
      </c>
      <c r="B503" s="9" t="s">
        <v>677</v>
      </c>
      <c r="C503" s="286" t="s">
        <v>20</v>
      </c>
      <c r="D503" s="332">
        <v>10</v>
      </c>
      <c r="E503" s="145">
        <v>125500</v>
      </c>
      <c r="F503" s="187">
        <f t="shared" si="21"/>
        <v>1255000</v>
      </c>
    </row>
    <row r="504" spans="1:6" x14ac:dyDescent="0.25">
      <c r="A504" s="286">
        <v>5</v>
      </c>
      <c r="B504" s="18" t="s">
        <v>51</v>
      </c>
      <c r="C504" s="286"/>
      <c r="D504" s="332"/>
      <c r="E504" s="58"/>
      <c r="F504" s="187" t="s">
        <v>1</v>
      </c>
    </row>
    <row r="505" spans="1:6" x14ac:dyDescent="0.25">
      <c r="A505" s="286">
        <v>5.0999999999999996</v>
      </c>
      <c r="B505" s="55" t="s">
        <v>678</v>
      </c>
      <c r="C505" s="286" t="s">
        <v>53</v>
      </c>
      <c r="D505" s="332">
        <v>8</v>
      </c>
      <c r="E505" s="58">
        <v>5922</v>
      </c>
      <c r="F505" s="187">
        <f t="shared" si="21"/>
        <v>47376</v>
      </c>
    </row>
    <row r="506" spans="1:6" x14ac:dyDescent="0.25">
      <c r="A506" s="286">
        <v>6</v>
      </c>
      <c r="B506" s="18" t="s">
        <v>43</v>
      </c>
      <c r="C506" s="286"/>
      <c r="D506" s="332"/>
      <c r="E506" s="58"/>
      <c r="F506" s="187" t="s">
        <v>1</v>
      </c>
    </row>
    <row r="507" spans="1:6" ht="29.25" x14ac:dyDescent="0.25">
      <c r="A507" s="286">
        <v>6.1</v>
      </c>
      <c r="B507" s="17" t="s">
        <v>45</v>
      </c>
      <c r="C507" s="286" t="s">
        <v>64</v>
      </c>
      <c r="D507" s="332">
        <v>7</v>
      </c>
      <c r="E507" s="58">
        <v>22131</v>
      </c>
      <c r="F507" s="187">
        <f t="shared" si="21"/>
        <v>154917</v>
      </c>
    </row>
    <row r="508" spans="1:6" ht="43.5" x14ac:dyDescent="0.25">
      <c r="A508" s="286">
        <v>6.2</v>
      </c>
      <c r="B508" s="17" t="s">
        <v>883</v>
      </c>
      <c r="C508" s="286" t="s">
        <v>64</v>
      </c>
      <c r="D508" s="332">
        <v>7</v>
      </c>
      <c r="E508" s="145">
        <v>32749</v>
      </c>
      <c r="F508" s="187">
        <f t="shared" si="21"/>
        <v>229243</v>
      </c>
    </row>
    <row r="509" spans="1:6" ht="43.5" x14ac:dyDescent="0.25">
      <c r="A509" s="222">
        <v>6.3</v>
      </c>
      <c r="B509" s="17" t="s">
        <v>820</v>
      </c>
      <c r="C509" s="222" t="s">
        <v>55</v>
      </c>
      <c r="D509" s="31">
        <v>4</v>
      </c>
      <c r="E509" s="59">
        <f>1673138</f>
        <v>1673138</v>
      </c>
      <c r="F509" s="187">
        <f t="shared" ref="F509:F510" si="22">D509*E509</f>
        <v>6692552</v>
      </c>
    </row>
    <row r="510" spans="1:6" ht="29.25" x14ac:dyDescent="0.25">
      <c r="A510" s="222">
        <v>6.4</v>
      </c>
      <c r="B510" s="17" t="s">
        <v>819</v>
      </c>
      <c r="C510" s="222" t="s">
        <v>23</v>
      </c>
      <c r="D510" s="31">
        <v>1</v>
      </c>
      <c r="E510" s="58">
        <v>788768</v>
      </c>
      <c r="F510" s="187">
        <f t="shared" si="22"/>
        <v>788768</v>
      </c>
    </row>
    <row r="511" spans="1:6" x14ac:dyDescent="0.25">
      <c r="A511" s="219"/>
      <c r="B511" s="18" t="s">
        <v>56</v>
      </c>
      <c r="C511" s="54"/>
      <c r="D511" s="130"/>
      <c r="E511" s="28"/>
      <c r="F511" s="79">
        <f>SUM(F496:F510)</f>
        <v>10534192</v>
      </c>
    </row>
    <row r="512" spans="1:6" x14ac:dyDescent="0.25">
      <c r="A512" s="19"/>
      <c r="B512" s="19" t="s">
        <v>60</v>
      </c>
      <c r="C512" s="19"/>
      <c r="D512" s="19"/>
      <c r="E512" s="19"/>
      <c r="F512" s="29">
        <f>ROUND(F511/1.3495,0)</f>
        <v>7805996</v>
      </c>
    </row>
    <row r="513" spans="1:13" x14ac:dyDescent="0.25">
      <c r="A513" s="19"/>
      <c r="B513" s="19" t="s">
        <v>61</v>
      </c>
      <c r="C513" s="131">
        <v>0.24</v>
      </c>
      <c r="D513" s="19"/>
      <c r="E513" s="19"/>
      <c r="F513" s="29">
        <f>ROUND(F512*C513,0)</f>
        <v>1873439</v>
      </c>
    </row>
    <row r="514" spans="1:13" x14ac:dyDescent="0.25">
      <c r="A514" s="19"/>
      <c r="B514" s="19" t="s">
        <v>57</v>
      </c>
      <c r="C514" s="131">
        <v>0.05</v>
      </c>
      <c r="D514" s="19"/>
      <c r="E514" s="19"/>
      <c r="F514" s="29">
        <f>ROUND(F512*C514,0)</f>
        <v>390300</v>
      </c>
    </row>
    <row r="515" spans="1:13" x14ac:dyDescent="0.25">
      <c r="A515" s="19"/>
      <c r="B515" s="19" t="s">
        <v>62</v>
      </c>
      <c r="C515" s="131">
        <v>0.05</v>
      </c>
      <c r="D515" s="19"/>
      <c r="E515" s="19"/>
      <c r="F515" s="29">
        <f>ROUND(F512*C515,0)</f>
        <v>390300</v>
      </c>
    </row>
    <row r="516" spans="1:13" x14ac:dyDescent="0.25">
      <c r="A516" s="19"/>
      <c r="B516" s="132" t="s">
        <v>63</v>
      </c>
      <c r="C516" s="133">
        <v>0.19</v>
      </c>
      <c r="D516" s="120"/>
      <c r="E516" s="120"/>
      <c r="F516" s="35">
        <f>ROUND(F515*19%,0)</f>
        <v>74157</v>
      </c>
    </row>
    <row r="517" spans="1:13" x14ac:dyDescent="0.25">
      <c r="A517" s="19"/>
      <c r="B517" s="18" t="s">
        <v>56</v>
      </c>
      <c r="C517" s="19"/>
      <c r="D517" s="19"/>
      <c r="E517" s="19"/>
      <c r="F517" s="30">
        <f>SUM(F512:F516)</f>
        <v>10534192</v>
      </c>
    </row>
    <row r="518" spans="1:13" x14ac:dyDescent="0.25">
      <c r="I518" s="184"/>
    </row>
    <row r="519" spans="1:13" ht="18" x14ac:dyDescent="0.25">
      <c r="B519" s="301" t="s">
        <v>509</v>
      </c>
      <c r="F519" s="137">
        <f>F517+F490+F436+F388+F339+F289+F238+F193+F147+F106+F48</f>
        <v>1203625237</v>
      </c>
      <c r="H519" s="184"/>
      <c r="I519" s="80"/>
      <c r="K519" s="80"/>
      <c r="L519" s="298"/>
      <c r="M519" s="83"/>
    </row>
    <row r="520" spans="1:13" x14ac:dyDescent="0.25">
      <c r="I520" s="83"/>
    </row>
  </sheetData>
  <mergeCells count="22">
    <mergeCell ref="A492:F492"/>
    <mergeCell ref="A493:A494"/>
    <mergeCell ref="B493:B494"/>
    <mergeCell ref="C493:C494"/>
    <mergeCell ref="D493:F493"/>
    <mergeCell ref="A444:F444"/>
    <mergeCell ref="A396:F396"/>
    <mergeCell ref="A397:F397"/>
    <mergeCell ref="A347:F347"/>
    <mergeCell ref="A348:F348"/>
    <mergeCell ref="A248:F248"/>
    <mergeCell ref="A298:F298"/>
    <mergeCell ref="A299:F299"/>
    <mergeCell ref="A249:F249"/>
    <mergeCell ref="A202:F202"/>
    <mergeCell ref="A5:F5"/>
    <mergeCell ref="B2:F2"/>
    <mergeCell ref="A201:F201"/>
    <mergeCell ref="A155:F155"/>
    <mergeCell ref="A156:F156"/>
    <mergeCell ref="A108:F108"/>
    <mergeCell ref="A56:F56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5" verticalDpi="4294967295" r:id="rId1"/>
  <headerFooter>
    <oddHeader>&amp;C&amp;P de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1"/>
  <sheetViews>
    <sheetView view="pageLayout" topLeftCell="A271" zoomScaleNormal="100" workbookViewId="0">
      <selection activeCell="A306" sqref="A306"/>
    </sheetView>
  </sheetViews>
  <sheetFormatPr baseColWidth="10" defaultRowHeight="15" x14ac:dyDescent="0.25"/>
  <cols>
    <col min="2" max="2" width="33.7109375" customWidth="1"/>
    <col min="4" max="4" width="19.28515625" customWidth="1"/>
    <col min="5" max="5" width="19" customWidth="1"/>
    <col min="6" max="6" width="20" customWidth="1"/>
    <col min="7" max="7" width="12.5703125" bestFit="1" customWidth="1"/>
  </cols>
  <sheetData>
    <row r="2" spans="1:12" ht="15.75" x14ac:dyDescent="0.25">
      <c r="A2" s="482" t="s">
        <v>828</v>
      </c>
      <c r="B2" s="482"/>
      <c r="C2" s="482"/>
      <c r="D2" s="482"/>
      <c r="E2" s="482"/>
      <c r="F2" s="482"/>
    </row>
    <row r="3" spans="1:12" x14ac:dyDescent="0.25">
      <c r="A3" s="81"/>
      <c r="B3" s="81"/>
      <c r="C3" s="81"/>
      <c r="D3" s="81"/>
      <c r="E3" s="81"/>
      <c r="F3" s="81"/>
    </row>
    <row r="4" spans="1:12" ht="30" customHeight="1" x14ac:dyDescent="0.25">
      <c r="A4" s="471" t="s">
        <v>690</v>
      </c>
      <c r="B4" s="471"/>
      <c r="C4" s="81"/>
      <c r="D4" s="81"/>
      <c r="E4" s="81"/>
      <c r="F4" s="81"/>
    </row>
    <row r="5" spans="1:12" x14ac:dyDescent="0.25">
      <c r="A5" s="81"/>
      <c r="B5" s="81"/>
      <c r="C5" s="81"/>
      <c r="D5" s="81"/>
      <c r="E5" s="81"/>
      <c r="F5" s="81"/>
      <c r="H5" s="81"/>
      <c r="I5" s="81"/>
      <c r="J5" s="81"/>
      <c r="K5" s="81"/>
      <c r="L5" s="81"/>
    </row>
    <row r="6" spans="1:12" ht="51.75" customHeight="1" x14ac:dyDescent="0.25">
      <c r="A6" s="524" t="s">
        <v>993</v>
      </c>
      <c r="B6" s="525"/>
      <c r="C6" s="525"/>
      <c r="D6" s="525"/>
      <c r="E6" s="525"/>
      <c r="F6" s="525"/>
      <c r="H6" s="81"/>
      <c r="I6" s="81"/>
      <c r="J6" s="81"/>
      <c r="K6" s="81"/>
      <c r="L6" s="81"/>
    </row>
    <row r="7" spans="1:12" x14ac:dyDescent="0.25">
      <c r="A7" s="185" t="s">
        <v>421</v>
      </c>
      <c r="B7" s="185" t="s">
        <v>422</v>
      </c>
      <c r="C7" s="185" t="s">
        <v>423</v>
      </c>
      <c r="D7" s="185" t="s">
        <v>13</v>
      </c>
      <c r="E7" s="185" t="s">
        <v>424</v>
      </c>
      <c r="F7" s="185" t="s">
        <v>425</v>
      </c>
      <c r="H7" s="81"/>
      <c r="I7" s="81"/>
      <c r="J7" s="81"/>
      <c r="K7" s="81"/>
      <c r="L7" s="81"/>
    </row>
    <row r="8" spans="1:12" x14ac:dyDescent="0.25">
      <c r="A8" s="286">
        <v>1</v>
      </c>
      <c r="B8" s="11" t="s">
        <v>16</v>
      </c>
      <c r="C8" s="286"/>
      <c r="D8" s="177"/>
      <c r="E8" s="178"/>
      <c r="F8" s="178"/>
      <c r="H8" s="81"/>
      <c r="I8" s="81"/>
      <c r="J8" s="81"/>
      <c r="K8" s="81"/>
      <c r="L8" s="81"/>
    </row>
    <row r="9" spans="1:12" ht="43.5" x14ac:dyDescent="0.25">
      <c r="A9" s="222" t="s">
        <v>339</v>
      </c>
      <c r="B9" s="17" t="s">
        <v>679</v>
      </c>
      <c r="C9" s="222" t="s">
        <v>341</v>
      </c>
      <c r="D9" s="186">
        <v>40</v>
      </c>
      <c r="E9" s="187">
        <v>7004</v>
      </c>
      <c r="F9" s="187">
        <f>ROUND(D9*E9,0)</f>
        <v>280160</v>
      </c>
      <c r="H9" s="81"/>
      <c r="I9" s="80"/>
      <c r="J9" s="81"/>
      <c r="K9" s="81"/>
      <c r="L9" s="81"/>
    </row>
    <row r="10" spans="1:12" ht="57" x14ac:dyDescent="0.25">
      <c r="A10" s="222" t="s">
        <v>342</v>
      </c>
      <c r="B10" s="132" t="s">
        <v>680</v>
      </c>
      <c r="C10" s="222" t="s">
        <v>341</v>
      </c>
      <c r="D10" s="186">
        <v>87</v>
      </c>
      <c r="E10" s="187">
        <v>6553</v>
      </c>
      <c r="F10" s="187">
        <f>ROUND(D10*E10,0)</f>
        <v>570111</v>
      </c>
      <c r="H10" s="81"/>
      <c r="I10" s="81"/>
      <c r="J10" s="215"/>
      <c r="K10" s="81"/>
      <c r="L10" s="81"/>
    </row>
    <row r="11" spans="1:12" x14ac:dyDescent="0.25">
      <c r="A11" s="222">
        <v>2</v>
      </c>
      <c r="B11" s="179" t="s">
        <v>347</v>
      </c>
      <c r="C11" s="222"/>
      <c r="D11" s="186"/>
      <c r="E11" s="187" t="s">
        <v>1</v>
      </c>
      <c r="F11" s="187"/>
      <c r="H11" s="81"/>
      <c r="I11" s="80"/>
      <c r="J11" s="81"/>
      <c r="K11" s="81"/>
      <c r="L11" s="81"/>
    </row>
    <row r="12" spans="1:12" ht="29.25" x14ac:dyDescent="0.25">
      <c r="A12" s="222" t="s">
        <v>348</v>
      </c>
      <c r="B12" s="17" t="s">
        <v>681</v>
      </c>
      <c r="C12" s="222" t="s">
        <v>115</v>
      </c>
      <c r="D12" s="186">
        <v>8.7100000000000009</v>
      </c>
      <c r="E12" s="187">
        <v>117743</v>
      </c>
      <c r="F12" s="187">
        <f>ROUND(D12*E12,0)</f>
        <v>1025542</v>
      </c>
      <c r="H12" s="81"/>
      <c r="I12" s="80"/>
      <c r="J12" s="81"/>
      <c r="K12" s="81"/>
      <c r="L12" s="81"/>
    </row>
    <row r="13" spans="1:12" ht="29.25" x14ac:dyDescent="0.25">
      <c r="A13" s="222" t="s">
        <v>461</v>
      </c>
      <c r="B13" s="13" t="s">
        <v>569</v>
      </c>
      <c r="C13" s="222" t="s">
        <v>115</v>
      </c>
      <c r="D13" s="186">
        <v>1</v>
      </c>
      <c r="E13" s="187">
        <v>111855</v>
      </c>
      <c r="F13" s="187">
        <f>ROUND(D13*E13,0)</f>
        <v>111855</v>
      </c>
      <c r="H13" s="81"/>
      <c r="I13" s="80"/>
      <c r="J13" s="81"/>
      <c r="K13" s="81"/>
      <c r="L13" s="81"/>
    </row>
    <row r="14" spans="1:12" ht="29.25" x14ac:dyDescent="0.25">
      <c r="A14" s="222" t="s">
        <v>351</v>
      </c>
      <c r="B14" s="17" t="s">
        <v>464</v>
      </c>
      <c r="C14" s="222" t="s">
        <v>115</v>
      </c>
      <c r="D14" s="186">
        <v>1</v>
      </c>
      <c r="E14" s="187">
        <v>97951</v>
      </c>
      <c r="F14" s="187">
        <f>ROUND(D14*E14,0)</f>
        <v>97951</v>
      </c>
      <c r="H14" s="81"/>
      <c r="I14" s="80"/>
      <c r="J14" s="81"/>
      <c r="K14" s="81"/>
      <c r="L14" s="81"/>
    </row>
    <row r="15" spans="1:12" x14ac:dyDescent="0.25">
      <c r="A15" s="286">
        <v>3</v>
      </c>
      <c r="B15" s="179" t="s">
        <v>353</v>
      </c>
      <c r="C15" s="222"/>
      <c r="D15" s="186"/>
      <c r="E15" s="187" t="s">
        <v>1</v>
      </c>
      <c r="F15" s="187"/>
      <c r="H15" s="81"/>
      <c r="I15" s="80"/>
      <c r="J15" s="81"/>
      <c r="K15" s="81"/>
      <c r="L15" s="81"/>
    </row>
    <row r="16" spans="1:12" ht="28.5" x14ac:dyDescent="0.25">
      <c r="A16" s="222" t="s">
        <v>354</v>
      </c>
      <c r="B16" s="132" t="s">
        <v>355</v>
      </c>
      <c r="C16" s="222" t="s">
        <v>115</v>
      </c>
      <c r="D16" s="186">
        <v>53.27</v>
      </c>
      <c r="E16" s="187">
        <v>33834</v>
      </c>
      <c r="F16" s="187">
        <f>ROUND(D16*E16,0)</f>
        <v>1802337</v>
      </c>
      <c r="H16" s="81"/>
      <c r="I16" s="80"/>
      <c r="J16" s="81"/>
      <c r="K16" s="81"/>
      <c r="L16" s="81"/>
    </row>
    <row r="17" spans="1:12" x14ac:dyDescent="0.25">
      <c r="A17" s="222">
        <v>4</v>
      </c>
      <c r="B17" s="188" t="s">
        <v>356</v>
      </c>
      <c r="C17" s="222"/>
      <c r="D17" s="186"/>
      <c r="E17" s="187" t="s">
        <v>1</v>
      </c>
      <c r="F17" s="187"/>
      <c r="H17" s="81"/>
      <c r="I17" s="80"/>
      <c r="J17" s="81"/>
      <c r="K17" s="81"/>
      <c r="L17" s="81"/>
    </row>
    <row r="18" spans="1:12" ht="29.25" x14ac:dyDescent="0.25">
      <c r="A18" s="222" t="s">
        <v>357</v>
      </c>
      <c r="B18" s="17" t="s">
        <v>358</v>
      </c>
      <c r="C18" s="222" t="s">
        <v>115</v>
      </c>
      <c r="D18" s="186">
        <v>63.81</v>
      </c>
      <c r="E18" s="187">
        <v>27958</v>
      </c>
      <c r="F18" s="187">
        <f>ROUND(D18*E18,0)</f>
        <v>1784000</v>
      </c>
      <c r="H18" s="81"/>
      <c r="I18" s="80"/>
      <c r="J18" s="81"/>
      <c r="K18" s="81"/>
      <c r="L18" s="81"/>
    </row>
    <row r="19" spans="1:12" ht="28.5" x14ac:dyDescent="0.25">
      <c r="A19" s="222" t="s">
        <v>543</v>
      </c>
      <c r="B19" s="132" t="s">
        <v>359</v>
      </c>
      <c r="C19" s="222" t="s">
        <v>115</v>
      </c>
      <c r="D19" s="186">
        <v>10.72</v>
      </c>
      <c r="E19" s="187">
        <v>33239</v>
      </c>
      <c r="F19" s="187">
        <f>ROUND(D19*E19,0)</f>
        <v>356322</v>
      </c>
      <c r="H19" s="81"/>
      <c r="I19" s="80"/>
      <c r="J19" s="81"/>
      <c r="K19" s="81"/>
      <c r="L19" s="81"/>
    </row>
    <row r="20" spans="1:12" x14ac:dyDescent="0.25">
      <c r="A20" s="222" t="s">
        <v>602</v>
      </c>
      <c r="B20" s="189" t="s">
        <v>407</v>
      </c>
      <c r="C20" s="222" t="s">
        <v>18</v>
      </c>
      <c r="D20" s="186">
        <v>20</v>
      </c>
      <c r="E20" s="187">
        <v>34774</v>
      </c>
      <c r="F20" s="187">
        <f>ROUND(D20*E20,0)</f>
        <v>695480</v>
      </c>
      <c r="H20" s="81"/>
      <c r="I20" s="80"/>
      <c r="J20" s="81"/>
      <c r="K20" s="81"/>
      <c r="L20" s="81"/>
    </row>
    <row r="21" spans="1:12" x14ac:dyDescent="0.25">
      <c r="A21" s="222">
        <v>5</v>
      </c>
      <c r="B21" s="190" t="s">
        <v>361</v>
      </c>
      <c r="C21" s="191"/>
      <c r="D21" s="192"/>
      <c r="E21" s="187" t="s">
        <v>1</v>
      </c>
      <c r="F21" s="187"/>
      <c r="H21" s="81"/>
      <c r="I21" s="80"/>
      <c r="J21" s="81"/>
      <c r="K21" s="81"/>
      <c r="L21" s="81"/>
    </row>
    <row r="22" spans="1:12" ht="29.25" x14ac:dyDescent="0.25">
      <c r="A22" s="222" t="s">
        <v>362</v>
      </c>
      <c r="B22" s="17" t="s">
        <v>363</v>
      </c>
      <c r="C22" s="222" t="s">
        <v>115</v>
      </c>
      <c r="D22" s="186">
        <v>49.61</v>
      </c>
      <c r="E22" s="187">
        <v>22948</v>
      </c>
      <c r="F22" s="187">
        <f>ROUND(D22*E22,0)</f>
        <v>1138450</v>
      </c>
      <c r="H22" s="81"/>
      <c r="I22" s="80"/>
      <c r="J22" s="81"/>
      <c r="K22" s="81"/>
      <c r="L22" s="81"/>
    </row>
    <row r="23" spans="1:12" ht="28.5" x14ac:dyDescent="0.25">
      <c r="A23" s="222" t="s">
        <v>364</v>
      </c>
      <c r="B23" s="132" t="s">
        <v>365</v>
      </c>
      <c r="C23" s="286" t="s">
        <v>115</v>
      </c>
      <c r="D23" s="177">
        <v>10.72</v>
      </c>
      <c r="E23" s="178">
        <v>132612</v>
      </c>
      <c r="F23" s="178">
        <f>ROUND(D23*E23,0)</f>
        <v>1421601</v>
      </c>
      <c r="H23" s="81"/>
      <c r="I23" s="80"/>
      <c r="J23" s="81"/>
      <c r="K23" s="81"/>
      <c r="L23" s="81"/>
    </row>
    <row r="24" spans="1:12" ht="30" x14ac:dyDescent="0.25">
      <c r="A24" s="222">
        <v>6</v>
      </c>
      <c r="B24" s="193" t="s">
        <v>366</v>
      </c>
      <c r="C24" s="191"/>
      <c r="D24" s="191"/>
      <c r="E24" s="192"/>
      <c r="F24" s="178"/>
      <c r="H24" s="81"/>
      <c r="I24" s="80"/>
      <c r="J24" s="81"/>
      <c r="K24" s="81"/>
      <c r="L24" s="81"/>
    </row>
    <row r="25" spans="1:12" x14ac:dyDescent="0.25">
      <c r="A25" s="222" t="s">
        <v>367</v>
      </c>
      <c r="B25" s="17" t="s">
        <v>682</v>
      </c>
      <c r="C25" s="222" t="s">
        <v>115</v>
      </c>
      <c r="D25" s="186">
        <v>2.6</v>
      </c>
      <c r="E25" s="187">
        <v>99441</v>
      </c>
      <c r="F25" s="187">
        <f>ROUND(D25*E25,0)</f>
        <v>258547</v>
      </c>
      <c r="H25" s="81"/>
      <c r="I25" s="80"/>
      <c r="J25" s="81"/>
      <c r="K25" s="81"/>
      <c r="L25" s="81"/>
    </row>
    <row r="26" spans="1:12" x14ac:dyDescent="0.25">
      <c r="A26" s="222" t="s">
        <v>547</v>
      </c>
      <c r="B26" s="13" t="s">
        <v>683</v>
      </c>
      <c r="C26" s="222" t="s">
        <v>115</v>
      </c>
      <c r="D26" s="186">
        <v>10.72</v>
      </c>
      <c r="E26" s="187">
        <v>201289</v>
      </c>
      <c r="F26" s="187">
        <f>ROUND(D26*E26,0)</f>
        <v>2157818</v>
      </c>
      <c r="H26" s="81"/>
      <c r="I26" s="80"/>
      <c r="J26" s="81"/>
      <c r="K26" s="81"/>
      <c r="L26" s="81"/>
    </row>
    <row r="27" spans="1:12" ht="29.25" x14ac:dyDescent="0.25">
      <c r="A27" s="222" t="s">
        <v>467</v>
      </c>
      <c r="B27" s="13" t="s">
        <v>468</v>
      </c>
      <c r="C27" s="222" t="s">
        <v>115</v>
      </c>
      <c r="D27" s="186">
        <v>18.52</v>
      </c>
      <c r="E27" s="187">
        <v>148643</v>
      </c>
      <c r="F27" s="187">
        <f>ROUND(D27*E27,0)</f>
        <v>2752868</v>
      </c>
      <c r="H27" s="81"/>
      <c r="I27" s="80"/>
      <c r="J27" s="81"/>
      <c r="K27" s="81"/>
      <c r="L27" s="81"/>
    </row>
    <row r="28" spans="1:12" x14ac:dyDescent="0.25">
      <c r="A28" s="222">
        <v>7</v>
      </c>
      <c r="B28" s="194" t="s">
        <v>371</v>
      </c>
      <c r="C28" s="222"/>
      <c r="D28" s="186"/>
      <c r="E28" s="187" t="s">
        <v>1</v>
      </c>
      <c r="F28" s="187"/>
      <c r="H28" s="81"/>
      <c r="I28" s="80"/>
      <c r="J28" s="81"/>
      <c r="K28" s="81"/>
      <c r="L28" s="81"/>
    </row>
    <row r="29" spans="1:12" ht="42.75" x14ac:dyDescent="0.25">
      <c r="A29" s="222" t="s">
        <v>372</v>
      </c>
      <c r="B29" s="132" t="s">
        <v>684</v>
      </c>
      <c r="C29" s="222" t="s">
        <v>18</v>
      </c>
      <c r="D29" s="186">
        <v>36</v>
      </c>
      <c r="E29" s="187">
        <v>15802</v>
      </c>
      <c r="F29" s="187">
        <f>ROUND(D29*E29,0)</f>
        <v>568872</v>
      </c>
      <c r="H29" s="81"/>
      <c r="I29" s="80"/>
      <c r="J29" s="81"/>
      <c r="K29" s="81"/>
      <c r="L29" s="81"/>
    </row>
    <row r="30" spans="1:12" ht="43.5" x14ac:dyDescent="0.25">
      <c r="A30" s="222" t="s">
        <v>411</v>
      </c>
      <c r="B30" s="17" t="s">
        <v>685</v>
      </c>
      <c r="C30" s="222" t="s">
        <v>18</v>
      </c>
      <c r="D30" s="186">
        <v>42</v>
      </c>
      <c r="E30" s="187">
        <v>31605</v>
      </c>
      <c r="F30" s="187">
        <f>ROUND(D30*E30,0)</f>
        <v>1327410</v>
      </c>
      <c r="H30" s="81"/>
      <c r="I30" s="80"/>
      <c r="J30" s="81"/>
      <c r="K30" s="81"/>
      <c r="L30" s="81"/>
    </row>
    <row r="31" spans="1:12" x14ac:dyDescent="0.25">
      <c r="A31" s="222" t="s">
        <v>376</v>
      </c>
      <c r="B31" s="13" t="s">
        <v>573</v>
      </c>
      <c r="C31" s="222" t="s">
        <v>125</v>
      </c>
      <c r="D31" s="186">
        <v>2</v>
      </c>
      <c r="E31" s="187">
        <v>110212</v>
      </c>
      <c r="F31" s="187">
        <f t="shared" ref="F31:F37" si="0">ROUND(D31*E31,0)</f>
        <v>220424</v>
      </c>
      <c r="H31" s="81"/>
      <c r="I31" s="80"/>
      <c r="J31" s="81"/>
      <c r="K31" s="81"/>
      <c r="L31" s="81"/>
    </row>
    <row r="32" spans="1:12" ht="28.5" x14ac:dyDescent="0.25">
      <c r="A32" s="222" t="s">
        <v>378</v>
      </c>
      <c r="B32" s="132" t="s">
        <v>667</v>
      </c>
      <c r="C32" s="222" t="s">
        <v>23</v>
      </c>
      <c r="D32" s="186">
        <v>4</v>
      </c>
      <c r="E32" s="187">
        <v>65616</v>
      </c>
      <c r="F32" s="187">
        <f t="shared" si="0"/>
        <v>262464</v>
      </c>
      <c r="H32" s="81"/>
      <c r="I32" s="80"/>
      <c r="J32" s="81"/>
      <c r="K32" s="81"/>
      <c r="L32" s="81"/>
    </row>
    <row r="33" spans="1:12" ht="28.5" x14ac:dyDescent="0.25">
      <c r="A33" s="222" t="s">
        <v>378</v>
      </c>
      <c r="B33" s="132" t="s">
        <v>381</v>
      </c>
      <c r="C33" s="222" t="s">
        <v>18</v>
      </c>
      <c r="D33" s="186">
        <v>3.4</v>
      </c>
      <c r="E33" s="187">
        <v>782282</v>
      </c>
      <c r="F33" s="187">
        <f t="shared" si="0"/>
        <v>2659759</v>
      </c>
      <c r="H33" s="81"/>
      <c r="I33" s="80"/>
      <c r="J33" s="81"/>
      <c r="K33" s="81"/>
      <c r="L33" s="81"/>
    </row>
    <row r="34" spans="1:12" ht="28.5" x14ac:dyDescent="0.25">
      <c r="A34" s="222" t="s">
        <v>380</v>
      </c>
      <c r="B34" s="132" t="s">
        <v>616</v>
      </c>
      <c r="C34" s="222" t="s">
        <v>125</v>
      </c>
      <c r="D34" s="186">
        <v>2</v>
      </c>
      <c r="E34" s="187">
        <v>642186</v>
      </c>
      <c r="F34" s="187">
        <f t="shared" si="0"/>
        <v>1284372</v>
      </c>
      <c r="H34" s="81"/>
      <c r="I34" s="80"/>
      <c r="J34" s="81"/>
      <c r="K34" s="81"/>
      <c r="L34" s="81"/>
    </row>
    <row r="35" spans="1:12" ht="28.5" x14ac:dyDescent="0.25">
      <c r="A35" s="222" t="s">
        <v>382</v>
      </c>
      <c r="B35" s="132" t="s">
        <v>385</v>
      </c>
      <c r="C35" s="222" t="s">
        <v>125</v>
      </c>
      <c r="D35" s="186">
        <v>1</v>
      </c>
      <c r="E35" s="187">
        <v>545095</v>
      </c>
      <c r="F35" s="187">
        <f t="shared" si="0"/>
        <v>545095</v>
      </c>
      <c r="H35" s="81"/>
      <c r="I35" s="80"/>
      <c r="J35" s="81"/>
      <c r="K35" s="81"/>
      <c r="L35" s="81"/>
    </row>
    <row r="36" spans="1:12" ht="28.5" x14ac:dyDescent="0.25">
      <c r="A36" s="222" t="s">
        <v>384</v>
      </c>
      <c r="B36" s="132" t="s">
        <v>387</v>
      </c>
      <c r="C36" s="222" t="s">
        <v>23</v>
      </c>
      <c r="D36" s="186">
        <v>9</v>
      </c>
      <c r="E36" s="187">
        <v>417018</v>
      </c>
      <c r="F36" s="187">
        <f t="shared" si="0"/>
        <v>3753162</v>
      </c>
      <c r="H36" s="81"/>
      <c r="I36" s="80"/>
      <c r="J36" s="81"/>
      <c r="K36" s="81"/>
      <c r="L36" s="81"/>
    </row>
    <row r="37" spans="1:12" x14ac:dyDescent="0.25">
      <c r="A37" s="222" t="s">
        <v>390</v>
      </c>
      <c r="B37" s="132" t="s">
        <v>686</v>
      </c>
      <c r="C37" s="222" t="s">
        <v>125</v>
      </c>
      <c r="D37" s="186">
        <v>9</v>
      </c>
      <c r="E37" s="187">
        <v>57809</v>
      </c>
      <c r="F37" s="187">
        <f t="shared" si="0"/>
        <v>520281</v>
      </c>
      <c r="H37" s="81"/>
      <c r="I37" s="80"/>
      <c r="J37" s="81"/>
      <c r="K37" s="81"/>
      <c r="L37" s="81"/>
    </row>
    <row r="38" spans="1:12" x14ac:dyDescent="0.25">
      <c r="A38" s="222">
        <v>9</v>
      </c>
      <c r="B38" s="195" t="s">
        <v>394</v>
      </c>
      <c r="C38" s="222"/>
      <c r="D38" s="186"/>
      <c r="E38" s="187" t="s">
        <v>1</v>
      </c>
      <c r="F38" s="187"/>
      <c r="H38" s="81"/>
      <c r="I38" s="80"/>
      <c r="J38" s="81"/>
      <c r="K38" s="81"/>
      <c r="L38" s="81"/>
    </row>
    <row r="39" spans="1:12" ht="29.25" x14ac:dyDescent="0.25">
      <c r="A39" s="222" t="s">
        <v>402</v>
      </c>
      <c r="B39" s="13" t="s">
        <v>396</v>
      </c>
      <c r="C39" s="222" t="s">
        <v>18</v>
      </c>
      <c r="D39" s="186">
        <v>152</v>
      </c>
      <c r="E39" s="187">
        <v>13193</v>
      </c>
      <c r="F39" s="187">
        <f>ROUND(D39*E39,0)</f>
        <v>2005336</v>
      </c>
      <c r="H39" s="81"/>
      <c r="I39" s="80"/>
      <c r="J39" s="81"/>
      <c r="K39" s="81"/>
      <c r="L39" s="81"/>
    </row>
    <row r="40" spans="1:12" ht="57" x14ac:dyDescent="0.25">
      <c r="A40" s="222" t="s">
        <v>687</v>
      </c>
      <c r="B40" s="9" t="s">
        <v>688</v>
      </c>
      <c r="C40" s="222" t="s">
        <v>115</v>
      </c>
      <c r="D40" s="186">
        <v>9.02</v>
      </c>
      <c r="E40" s="187">
        <v>885509</v>
      </c>
      <c r="F40" s="187">
        <f>ROUND(D40*E40,0)</f>
        <v>7987291</v>
      </c>
      <c r="H40" s="81"/>
      <c r="I40" s="80"/>
      <c r="J40" s="81"/>
      <c r="K40" s="81"/>
      <c r="L40" s="81"/>
    </row>
    <row r="41" spans="1:12" ht="42.75" x14ac:dyDescent="0.25">
      <c r="A41" s="222" t="s">
        <v>689</v>
      </c>
      <c r="B41" s="196" t="s">
        <v>400</v>
      </c>
      <c r="C41" s="222" t="s">
        <v>115</v>
      </c>
      <c r="D41" s="186">
        <v>0.5</v>
      </c>
      <c r="E41" s="187">
        <v>727718</v>
      </c>
      <c r="F41" s="187">
        <f>ROUND(D41*E41,0)</f>
        <v>363859</v>
      </c>
      <c r="H41" s="81"/>
      <c r="I41" s="80"/>
      <c r="J41" s="81"/>
      <c r="K41" s="81"/>
      <c r="L41" s="81"/>
    </row>
    <row r="42" spans="1:12" ht="43.5" x14ac:dyDescent="0.25">
      <c r="A42" s="222">
        <v>10</v>
      </c>
      <c r="B42" s="17" t="s">
        <v>820</v>
      </c>
      <c r="C42" s="222" t="s">
        <v>55</v>
      </c>
      <c r="D42" s="186">
        <v>1</v>
      </c>
      <c r="E42" s="59">
        <f>1673138</f>
        <v>1673138</v>
      </c>
      <c r="F42" s="187">
        <f t="shared" ref="F42:F43" si="1">D42*E42</f>
        <v>1673138</v>
      </c>
      <c r="H42" s="81"/>
      <c r="I42" s="80"/>
      <c r="J42" s="81"/>
      <c r="K42" s="81"/>
      <c r="L42" s="81"/>
    </row>
    <row r="43" spans="1:12" ht="29.25" x14ac:dyDescent="0.25">
      <c r="A43" s="222">
        <v>11</v>
      </c>
      <c r="B43" s="17" t="s">
        <v>819</v>
      </c>
      <c r="C43" s="222" t="s">
        <v>23</v>
      </c>
      <c r="D43" s="186">
        <v>1</v>
      </c>
      <c r="E43" s="58">
        <v>788768</v>
      </c>
      <c r="F43" s="187">
        <f t="shared" si="1"/>
        <v>788768</v>
      </c>
      <c r="H43" s="81"/>
      <c r="I43" s="80"/>
      <c r="J43" s="81"/>
      <c r="K43" s="81"/>
      <c r="L43" s="81"/>
    </row>
    <row r="44" spans="1:12" x14ac:dyDescent="0.25">
      <c r="A44" s="219"/>
      <c r="B44" s="18" t="s">
        <v>56</v>
      </c>
      <c r="C44" s="54"/>
      <c r="D44" s="130"/>
      <c r="E44" s="28"/>
      <c r="F44" s="79">
        <f>SUM(F8:F43)</f>
        <v>38413273</v>
      </c>
      <c r="H44" s="81"/>
      <c r="I44" s="81"/>
      <c r="J44" s="81"/>
      <c r="K44" s="81"/>
      <c r="L44" s="81"/>
    </row>
    <row r="45" spans="1:12" x14ac:dyDescent="0.25">
      <c r="A45" s="19"/>
      <c r="B45" s="19" t="s">
        <v>60</v>
      </c>
      <c r="C45" s="19"/>
      <c r="D45" s="19"/>
      <c r="E45" s="19"/>
      <c r="F45" s="29">
        <f>ROUND(F44/1.3495,0)</f>
        <v>28464819</v>
      </c>
      <c r="H45" s="81"/>
      <c r="I45" s="81"/>
      <c r="J45" s="81"/>
      <c r="K45" s="81"/>
      <c r="L45" s="81"/>
    </row>
    <row r="46" spans="1:12" x14ac:dyDescent="0.25">
      <c r="A46" s="19"/>
      <c r="B46" s="19" t="s">
        <v>61</v>
      </c>
      <c r="C46" s="131">
        <v>0.24</v>
      </c>
      <c r="D46" s="19"/>
      <c r="E46" s="19"/>
      <c r="F46" s="29">
        <f>ROUND(F45*C46,0)</f>
        <v>6831557</v>
      </c>
      <c r="H46" s="81"/>
      <c r="I46" s="81"/>
      <c r="J46" s="81"/>
      <c r="K46" s="81"/>
      <c r="L46" s="81"/>
    </row>
    <row r="47" spans="1:12" x14ac:dyDescent="0.25">
      <c r="A47" s="19"/>
      <c r="B47" s="19" t="s">
        <v>57</v>
      </c>
      <c r="C47" s="131">
        <v>0.05</v>
      </c>
      <c r="D47" s="19"/>
      <c r="E47" s="19"/>
      <c r="F47" s="29">
        <f>ROUND(F45*C47,0)</f>
        <v>1423241</v>
      </c>
      <c r="H47" s="81"/>
      <c r="I47" s="81"/>
      <c r="J47" s="81"/>
      <c r="K47" s="81"/>
      <c r="L47" s="81"/>
    </row>
    <row r="48" spans="1:12" x14ac:dyDescent="0.25">
      <c r="A48" s="19"/>
      <c r="B48" s="19" t="s">
        <v>62</v>
      </c>
      <c r="C48" s="131">
        <v>0.05</v>
      </c>
      <c r="D48" s="19"/>
      <c r="E48" s="19"/>
      <c r="F48" s="29">
        <f>ROUND(F45*C48,0)</f>
        <v>1423241</v>
      </c>
      <c r="H48" s="81"/>
      <c r="I48" s="81"/>
      <c r="J48" s="81"/>
      <c r="K48" s="81"/>
      <c r="L48" s="81"/>
    </row>
    <row r="49" spans="1:12" x14ac:dyDescent="0.25">
      <c r="A49" s="19"/>
      <c r="B49" s="132" t="s">
        <v>63</v>
      </c>
      <c r="C49" s="133">
        <v>0.19</v>
      </c>
      <c r="D49" s="120"/>
      <c r="E49" s="120"/>
      <c r="F49" s="35">
        <f>ROUND(F48*19%,0)</f>
        <v>270416</v>
      </c>
      <c r="H49" s="81"/>
      <c r="I49" s="81"/>
      <c r="J49" s="81"/>
      <c r="K49" s="81"/>
      <c r="L49" s="81"/>
    </row>
    <row r="50" spans="1:12" x14ac:dyDescent="0.25">
      <c r="A50" s="19"/>
      <c r="B50" s="18" t="s">
        <v>56</v>
      </c>
      <c r="C50" s="19"/>
      <c r="D50" s="19"/>
      <c r="E50" s="19"/>
      <c r="F50" s="30">
        <f>SUM(F45:F49)</f>
        <v>38413274</v>
      </c>
      <c r="H50" s="81"/>
      <c r="I50" s="81"/>
      <c r="J50" s="81"/>
      <c r="K50" s="81"/>
      <c r="L50" s="81"/>
    </row>
    <row r="51" spans="1:12" x14ac:dyDescent="0.25">
      <c r="A51" s="81"/>
      <c r="B51" s="81"/>
      <c r="C51" s="81"/>
      <c r="D51" s="81"/>
      <c r="E51" s="81"/>
      <c r="F51" s="81"/>
      <c r="H51" s="81"/>
      <c r="I51" s="81"/>
      <c r="J51" s="81"/>
      <c r="K51" s="81"/>
      <c r="L51" s="81"/>
    </row>
    <row r="52" spans="1:12" x14ac:dyDescent="0.25">
      <c r="A52" s="81"/>
      <c r="B52" s="81"/>
      <c r="C52" s="81"/>
      <c r="D52" s="81"/>
      <c r="E52" s="81"/>
      <c r="F52" s="81"/>
      <c r="H52" s="81"/>
      <c r="I52" s="81"/>
      <c r="J52" s="136"/>
      <c r="K52" s="136"/>
      <c r="L52" s="136"/>
    </row>
    <row r="53" spans="1:12" x14ac:dyDescent="0.25">
      <c r="A53" s="81"/>
      <c r="B53" s="299" t="s">
        <v>714</v>
      </c>
      <c r="C53" s="299"/>
      <c r="D53" s="299"/>
      <c r="E53" s="299"/>
      <c r="F53" s="137">
        <f>F50</f>
        <v>38413274</v>
      </c>
      <c r="H53" s="81"/>
      <c r="I53" s="81"/>
      <c r="J53" s="135"/>
      <c r="K53" s="135"/>
      <c r="L53" s="135"/>
    </row>
    <row r="54" spans="1:12" x14ac:dyDescent="0.25">
      <c r="A54" s="81"/>
      <c r="B54" s="81"/>
      <c r="C54" s="81"/>
      <c r="D54" s="81"/>
      <c r="E54" s="81"/>
      <c r="F54" s="81"/>
      <c r="H54" s="81"/>
      <c r="I54" s="81"/>
      <c r="J54" s="81"/>
      <c r="K54" s="81"/>
      <c r="L54" s="81"/>
    </row>
    <row r="55" spans="1:12" x14ac:dyDescent="0.25">
      <c r="A55" s="471" t="s">
        <v>691</v>
      </c>
      <c r="B55" s="471"/>
      <c r="C55" s="81"/>
      <c r="D55" s="81"/>
      <c r="E55" s="81"/>
      <c r="F55" s="81"/>
      <c r="H55" s="81"/>
      <c r="I55" s="81"/>
      <c r="J55" s="81"/>
      <c r="K55" s="81"/>
      <c r="L55" s="81"/>
    </row>
    <row r="56" spans="1:12" x14ac:dyDescent="0.25">
      <c r="A56" s="81"/>
      <c r="B56" s="81"/>
      <c r="C56" s="81"/>
      <c r="D56" s="81"/>
      <c r="E56" s="81"/>
      <c r="F56" s="81"/>
      <c r="H56" s="81"/>
      <c r="I56" s="81"/>
      <c r="J56" s="81"/>
      <c r="K56" s="81"/>
      <c r="L56" s="81"/>
    </row>
    <row r="57" spans="1:12" x14ac:dyDescent="0.25">
      <c r="A57" s="422" t="s">
        <v>692</v>
      </c>
      <c r="B57" s="422"/>
      <c r="C57" s="422"/>
      <c r="D57" s="422"/>
      <c r="E57" s="422"/>
      <c r="F57" s="422"/>
      <c r="H57" s="81"/>
      <c r="I57" s="81"/>
      <c r="J57" s="81"/>
      <c r="K57" s="81"/>
      <c r="L57" s="81"/>
    </row>
    <row r="58" spans="1:12" x14ac:dyDescent="0.25">
      <c r="A58" s="420" t="s">
        <v>10</v>
      </c>
      <c r="B58" s="420" t="s">
        <v>0</v>
      </c>
      <c r="C58" s="420" t="s">
        <v>11</v>
      </c>
      <c r="D58" s="420" t="s">
        <v>12</v>
      </c>
      <c r="E58" s="420"/>
      <c r="F58" s="420"/>
      <c r="H58" s="81"/>
      <c r="I58" s="81"/>
      <c r="J58" s="81"/>
      <c r="K58" s="81"/>
      <c r="L58" s="81"/>
    </row>
    <row r="59" spans="1:12" x14ac:dyDescent="0.25">
      <c r="A59" s="420"/>
      <c r="B59" s="420"/>
      <c r="C59" s="420"/>
      <c r="D59" s="54" t="s">
        <v>13</v>
      </c>
      <c r="E59" s="54" t="s">
        <v>14</v>
      </c>
      <c r="F59" s="54" t="s">
        <v>15</v>
      </c>
      <c r="H59" s="81"/>
      <c r="I59" s="81"/>
      <c r="J59" s="81"/>
      <c r="K59" s="81"/>
      <c r="L59" s="81"/>
    </row>
    <row r="60" spans="1:12" x14ac:dyDescent="0.25">
      <c r="A60" s="219">
        <v>1</v>
      </c>
      <c r="B60" s="18" t="s">
        <v>16</v>
      </c>
      <c r="C60" s="420"/>
      <c r="D60" s="420"/>
      <c r="E60" s="420"/>
      <c r="F60" s="20"/>
      <c r="H60" s="81"/>
      <c r="I60" s="81"/>
      <c r="J60" s="81"/>
      <c r="K60" s="81"/>
      <c r="L60" s="81"/>
    </row>
    <row r="61" spans="1:12" ht="28.5" x14ac:dyDescent="0.25">
      <c r="A61" s="222">
        <v>1.1000000000000001</v>
      </c>
      <c r="B61" s="9" t="s">
        <v>77</v>
      </c>
      <c r="C61" s="286" t="s">
        <v>18</v>
      </c>
      <c r="D61" s="61">
        <v>228</v>
      </c>
      <c r="E61" s="243">
        <v>5230</v>
      </c>
      <c r="F61" s="187">
        <f t="shared" ref="F61:F91" si="2">ROUND(D61*E61,0)</f>
        <v>1192440</v>
      </c>
      <c r="H61" s="81"/>
      <c r="I61" s="81"/>
      <c r="J61" s="81"/>
      <c r="K61" s="81"/>
      <c r="L61" s="81"/>
    </row>
    <row r="62" spans="1:12" ht="42.75" x14ac:dyDescent="0.25">
      <c r="A62" s="222">
        <v>1.2</v>
      </c>
      <c r="B62" s="9" t="s">
        <v>21</v>
      </c>
      <c r="C62" s="222" t="s">
        <v>18</v>
      </c>
      <c r="D62" s="31">
        <v>288</v>
      </c>
      <c r="E62" s="59">
        <v>13608</v>
      </c>
      <c r="F62" s="187">
        <f t="shared" si="2"/>
        <v>3919104</v>
      </c>
      <c r="H62" s="81"/>
      <c r="I62" s="81"/>
      <c r="J62" s="81"/>
      <c r="K62" s="81"/>
      <c r="L62" s="81"/>
    </row>
    <row r="63" spans="1:12" x14ac:dyDescent="0.25">
      <c r="A63" s="222">
        <v>1.3</v>
      </c>
      <c r="B63" s="9" t="s">
        <v>22</v>
      </c>
      <c r="C63" s="286" t="s">
        <v>23</v>
      </c>
      <c r="D63" s="61">
        <v>4</v>
      </c>
      <c r="E63" s="243">
        <v>155814</v>
      </c>
      <c r="F63" s="187">
        <f t="shared" si="2"/>
        <v>623256</v>
      </c>
      <c r="H63" s="81"/>
      <c r="I63" s="81"/>
      <c r="J63" s="81"/>
      <c r="K63" s="81"/>
      <c r="L63" s="81"/>
    </row>
    <row r="64" spans="1:12" x14ac:dyDescent="0.25">
      <c r="A64" s="219">
        <v>2</v>
      </c>
      <c r="B64" s="18" t="s">
        <v>25</v>
      </c>
      <c r="C64" s="20"/>
      <c r="D64" s="20"/>
      <c r="E64" s="243"/>
      <c r="F64" s="187"/>
      <c r="H64" s="81"/>
      <c r="I64" s="81"/>
      <c r="J64" s="81"/>
      <c r="K64" s="81"/>
      <c r="L64" s="81"/>
    </row>
    <row r="65" spans="1:12" ht="43.5" x14ac:dyDescent="0.25">
      <c r="A65" s="222">
        <v>2.2000000000000002</v>
      </c>
      <c r="B65" s="17" t="s">
        <v>78</v>
      </c>
      <c r="C65" s="222" t="s">
        <v>64</v>
      </c>
      <c r="D65" s="31">
        <v>6</v>
      </c>
      <c r="E65" s="58">
        <v>83560</v>
      </c>
      <c r="F65" s="187">
        <f t="shared" si="2"/>
        <v>501360</v>
      </c>
      <c r="H65" s="81"/>
      <c r="I65" s="81"/>
      <c r="J65" s="81"/>
      <c r="K65" s="81"/>
      <c r="L65" s="81"/>
    </row>
    <row r="66" spans="1:12" x14ac:dyDescent="0.25">
      <c r="A66" s="219">
        <v>3</v>
      </c>
      <c r="B66" s="18" t="s">
        <v>28</v>
      </c>
      <c r="C66" s="20"/>
      <c r="D66" s="20"/>
      <c r="E66" s="243"/>
      <c r="F66" s="187"/>
      <c r="H66" s="81"/>
      <c r="I66" s="81"/>
      <c r="J66" s="81"/>
      <c r="K66" s="81"/>
      <c r="L66" s="81"/>
    </row>
    <row r="67" spans="1:12" x14ac:dyDescent="0.25">
      <c r="A67" s="222">
        <v>3.1</v>
      </c>
      <c r="B67" s="17" t="s">
        <v>79</v>
      </c>
      <c r="C67" s="286" t="s">
        <v>64</v>
      </c>
      <c r="D67" s="61">
        <v>260</v>
      </c>
      <c r="E67" s="243">
        <v>26395</v>
      </c>
      <c r="F67" s="187">
        <f t="shared" si="2"/>
        <v>6862700</v>
      </c>
      <c r="H67" s="81"/>
      <c r="I67" s="81"/>
      <c r="J67" s="81"/>
      <c r="K67" s="81"/>
      <c r="L67" s="81"/>
    </row>
    <row r="68" spans="1:12" x14ac:dyDescent="0.25">
      <c r="A68" s="222">
        <v>3.2</v>
      </c>
      <c r="B68" s="17" t="s">
        <v>693</v>
      </c>
      <c r="C68" s="286" t="s">
        <v>64</v>
      </c>
      <c r="D68" s="61">
        <v>40</v>
      </c>
      <c r="E68" s="243">
        <v>30775</v>
      </c>
      <c r="F68" s="187">
        <f t="shared" si="2"/>
        <v>1231000</v>
      </c>
      <c r="H68" s="81"/>
      <c r="I68" s="81"/>
      <c r="J68" s="81"/>
      <c r="K68" s="81"/>
      <c r="L68" s="81"/>
    </row>
    <row r="69" spans="1:12" x14ac:dyDescent="0.25">
      <c r="A69" s="222">
        <v>3.3</v>
      </c>
      <c r="B69" s="55" t="s">
        <v>694</v>
      </c>
      <c r="C69" s="286" t="s">
        <v>18</v>
      </c>
      <c r="D69" s="61">
        <v>80</v>
      </c>
      <c r="E69" s="243">
        <v>31222</v>
      </c>
      <c r="F69" s="187">
        <f t="shared" si="2"/>
        <v>2497760</v>
      </c>
      <c r="H69" s="81"/>
      <c r="I69" s="81"/>
      <c r="J69" s="81"/>
      <c r="K69" s="81"/>
      <c r="L69" s="81"/>
    </row>
    <row r="70" spans="1:12" ht="29.25" x14ac:dyDescent="0.25">
      <c r="A70" s="222">
        <v>3.4</v>
      </c>
      <c r="B70" s="17" t="s">
        <v>32</v>
      </c>
      <c r="C70" s="286" t="s">
        <v>64</v>
      </c>
      <c r="D70" s="61">
        <v>40</v>
      </c>
      <c r="E70" s="243">
        <v>32848</v>
      </c>
      <c r="F70" s="187">
        <f t="shared" si="2"/>
        <v>1313920</v>
      </c>
      <c r="H70" s="81"/>
      <c r="I70" s="81"/>
      <c r="J70" s="81"/>
      <c r="K70" s="81"/>
      <c r="L70" s="81"/>
    </row>
    <row r="71" spans="1:12" x14ac:dyDescent="0.25">
      <c r="A71" s="219">
        <v>4</v>
      </c>
      <c r="B71" s="18" t="s">
        <v>80</v>
      </c>
      <c r="C71" s="20"/>
      <c r="D71" s="20"/>
      <c r="E71" s="243"/>
      <c r="F71" s="187"/>
      <c r="H71" s="81"/>
      <c r="I71" s="81"/>
      <c r="J71" s="81"/>
      <c r="K71" s="81"/>
      <c r="L71" s="81"/>
    </row>
    <row r="72" spans="1:12" ht="57.75" x14ac:dyDescent="0.25">
      <c r="A72" s="222">
        <v>4.0999999999999996</v>
      </c>
      <c r="B72" s="17" t="s">
        <v>695</v>
      </c>
      <c r="C72" s="222" t="s">
        <v>18</v>
      </c>
      <c r="D72" s="31">
        <v>84</v>
      </c>
      <c r="E72" s="58">
        <f>6*1720</f>
        <v>10320</v>
      </c>
      <c r="F72" s="187">
        <f t="shared" si="2"/>
        <v>866880</v>
      </c>
      <c r="H72" s="81"/>
      <c r="I72" s="81"/>
      <c r="J72" s="81"/>
      <c r="K72" s="81"/>
      <c r="L72" s="81"/>
    </row>
    <row r="73" spans="1:12" ht="43.5" x14ac:dyDescent="0.25">
      <c r="A73" s="222">
        <v>4.2</v>
      </c>
      <c r="B73" s="17" t="s">
        <v>82</v>
      </c>
      <c r="C73" s="222" t="s">
        <v>37</v>
      </c>
      <c r="D73" s="31">
        <v>6</v>
      </c>
      <c r="E73" s="58">
        <v>42039</v>
      </c>
      <c r="F73" s="187">
        <f t="shared" si="2"/>
        <v>252234</v>
      </c>
      <c r="H73" s="81"/>
      <c r="I73" s="81"/>
      <c r="J73" s="81"/>
      <c r="K73" s="81"/>
      <c r="L73" s="81"/>
    </row>
    <row r="74" spans="1:12" x14ac:dyDescent="0.25">
      <c r="A74" s="222">
        <v>4.3</v>
      </c>
      <c r="B74" s="17" t="s">
        <v>85</v>
      </c>
      <c r="C74" s="286" t="s">
        <v>23</v>
      </c>
      <c r="D74" s="61">
        <v>4</v>
      </c>
      <c r="E74" s="243">
        <v>90583</v>
      </c>
      <c r="F74" s="187">
        <f t="shared" si="2"/>
        <v>362332</v>
      </c>
      <c r="H74" s="81"/>
      <c r="I74" s="81"/>
      <c r="J74" s="81"/>
      <c r="K74" s="81"/>
      <c r="L74" s="81"/>
    </row>
    <row r="75" spans="1:12" ht="30" x14ac:dyDescent="0.25">
      <c r="A75" s="219">
        <v>5</v>
      </c>
      <c r="B75" s="188" t="s">
        <v>33</v>
      </c>
      <c r="C75" s="20"/>
      <c r="D75" s="61"/>
      <c r="E75" s="242"/>
      <c r="F75" s="187"/>
      <c r="H75" s="81"/>
      <c r="I75" s="81"/>
      <c r="J75" s="81"/>
      <c r="K75" s="81"/>
      <c r="L75" s="81"/>
    </row>
    <row r="76" spans="1:12" ht="29.25" x14ac:dyDescent="0.25">
      <c r="A76" s="222">
        <v>5.0999999999999996</v>
      </c>
      <c r="B76" s="17" t="s">
        <v>696</v>
      </c>
      <c r="C76" s="222" t="s">
        <v>18</v>
      </c>
      <c r="D76" s="31">
        <v>144</v>
      </c>
      <c r="E76" s="59">
        <v>23781</v>
      </c>
      <c r="F76" s="187">
        <f t="shared" si="2"/>
        <v>3424464</v>
      </c>
      <c r="H76" s="81"/>
      <c r="I76" s="81"/>
      <c r="J76" s="81"/>
      <c r="K76" s="81"/>
      <c r="L76" s="81"/>
    </row>
    <row r="77" spans="1:12" ht="57" x14ac:dyDescent="0.25">
      <c r="A77" s="222">
        <v>5.2</v>
      </c>
      <c r="B77" s="57" t="s">
        <v>35</v>
      </c>
      <c r="C77" s="222" t="s">
        <v>18</v>
      </c>
      <c r="D77" s="31">
        <v>5</v>
      </c>
      <c r="E77" s="59">
        <v>637411</v>
      </c>
      <c r="F77" s="187">
        <f t="shared" si="2"/>
        <v>3187055</v>
      </c>
      <c r="H77" s="81"/>
      <c r="I77" s="81"/>
      <c r="J77" s="81"/>
      <c r="K77" s="81"/>
      <c r="L77" s="81"/>
    </row>
    <row r="78" spans="1:12" ht="43.5" x14ac:dyDescent="0.25">
      <c r="A78" s="222">
        <v>5.3</v>
      </c>
      <c r="B78" s="17" t="s">
        <v>36</v>
      </c>
      <c r="C78" s="222" t="s">
        <v>37</v>
      </c>
      <c r="D78" s="31">
        <v>5</v>
      </c>
      <c r="E78" s="59">
        <v>777600</v>
      </c>
      <c r="F78" s="187">
        <f t="shared" si="2"/>
        <v>3888000</v>
      </c>
      <c r="H78" s="81"/>
      <c r="I78" s="81"/>
      <c r="J78" s="81"/>
      <c r="K78" s="81"/>
      <c r="L78" s="81"/>
    </row>
    <row r="79" spans="1:12" x14ac:dyDescent="0.25">
      <c r="A79" s="222">
        <v>5.4</v>
      </c>
      <c r="B79" s="55" t="s">
        <v>38</v>
      </c>
      <c r="C79" s="286" t="s">
        <v>37</v>
      </c>
      <c r="D79" s="61">
        <v>5</v>
      </c>
      <c r="E79" s="242">
        <v>540447</v>
      </c>
      <c r="F79" s="187">
        <f t="shared" si="2"/>
        <v>2702235</v>
      </c>
      <c r="H79" s="81"/>
      <c r="I79" s="81"/>
      <c r="J79" s="81"/>
      <c r="K79" s="81"/>
      <c r="L79" s="81"/>
    </row>
    <row r="80" spans="1:12" ht="29.25" x14ac:dyDescent="0.25">
      <c r="A80" s="222">
        <v>5.5</v>
      </c>
      <c r="B80" s="17" t="s">
        <v>39</v>
      </c>
      <c r="C80" s="286" t="s">
        <v>18</v>
      </c>
      <c r="D80" s="61">
        <v>24</v>
      </c>
      <c r="E80" s="242">
        <v>13802</v>
      </c>
      <c r="F80" s="187">
        <f t="shared" si="2"/>
        <v>331248</v>
      </c>
      <c r="H80" s="81"/>
      <c r="I80" s="81"/>
      <c r="J80" s="81"/>
      <c r="K80" s="81"/>
      <c r="L80" s="81"/>
    </row>
    <row r="81" spans="1:12" ht="43.5" x14ac:dyDescent="0.25">
      <c r="A81" s="222">
        <v>5.6</v>
      </c>
      <c r="B81" s="17" t="s">
        <v>75</v>
      </c>
      <c r="C81" s="286" t="s">
        <v>23</v>
      </c>
      <c r="D81" s="61">
        <v>6</v>
      </c>
      <c r="E81" s="242">
        <v>399818</v>
      </c>
      <c r="F81" s="187">
        <f t="shared" si="2"/>
        <v>2398908</v>
      </c>
      <c r="H81" s="81"/>
      <c r="I81" s="81"/>
      <c r="J81" s="81"/>
      <c r="K81" s="81"/>
      <c r="L81" s="81"/>
    </row>
    <row r="82" spans="1:12" x14ac:dyDescent="0.25">
      <c r="A82" s="222">
        <v>5.7</v>
      </c>
      <c r="B82" s="17" t="s">
        <v>67</v>
      </c>
      <c r="C82" s="286" t="s">
        <v>23</v>
      </c>
      <c r="D82" s="61">
        <v>6</v>
      </c>
      <c r="E82" s="242">
        <v>43482</v>
      </c>
      <c r="F82" s="187">
        <f t="shared" si="2"/>
        <v>260892</v>
      </c>
      <c r="H82" s="81"/>
      <c r="I82" s="81"/>
      <c r="J82" s="81"/>
      <c r="K82" s="81"/>
      <c r="L82" s="81"/>
    </row>
    <row r="83" spans="1:12" x14ac:dyDescent="0.25">
      <c r="A83" s="222">
        <v>5.8</v>
      </c>
      <c r="B83" s="55" t="s">
        <v>42</v>
      </c>
      <c r="C83" s="286" t="s">
        <v>23</v>
      </c>
      <c r="D83" s="61">
        <v>2</v>
      </c>
      <c r="E83" s="242">
        <v>90312</v>
      </c>
      <c r="F83" s="187">
        <f t="shared" si="2"/>
        <v>180624</v>
      </c>
      <c r="H83" s="81"/>
      <c r="I83" s="81"/>
      <c r="J83" s="81"/>
      <c r="K83" s="81"/>
      <c r="L83" s="81"/>
    </row>
    <row r="84" spans="1:12" x14ac:dyDescent="0.25">
      <c r="A84" s="219">
        <v>6</v>
      </c>
      <c r="B84" s="18" t="s">
        <v>43</v>
      </c>
      <c r="C84" s="20"/>
      <c r="D84" s="20"/>
      <c r="E84" s="243"/>
      <c r="F84" s="187"/>
      <c r="H84" s="81"/>
      <c r="I84" s="81"/>
      <c r="J84" s="81"/>
      <c r="K84" s="81"/>
      <c r="L84" s="81"/>
    </row>
    <row r="85" spans="1:12" x14ac:dyDescent="0.25">
      <c r="A85" s="222">
        <v>6.1</v>
      </c>
      <c r="B85" s="17" t="s">
        <v>44</v>
      </c>
      <c r="C85" s="286" t="s">
        <v>64</v>
      </c>
      <c r="D85" s="61">
        <v>35</v>
      </c>
      <c r="E85" s="243">
        <v>121019</v>
      </c>
      <c r="F85" s="187">
        <f t="shared" si="2"/>
        <v>4235665</v>
      </c>
      <c r="H85" s="81"/>
      <c r="I85" s="81"/>
      <c r="J85" s="81"/>
      <c r="K85" s="81"/>
      <c r="L85" s="81"/>
    </row>
    <row r="86" spans="1:12" ht="29.25" x14ac:dyDescent="0.25">
      <c r="A86" s="222">
        <v>6.2</v>
      </c>
      <c r="B86" s="17" t="s">
        <v>45</v>
      </c>
      <c r="C86" s="286" t="s">
        <v>64</v>
      </c>
      <c r="D86" s="61">
        <v>250</v>
      </c>
      <c r="E86" s="243">
        <v>22197</v>
      </c>
      <c r="F86" s="187">
        <f t="shared" si="2"/>
        <v>5549250</v>
      </c>
      <c r="H86" s="81"/>
      <c r="I86" s="81"/>
      <c r="J86" s="81"/>
      <c r="K86" s="81"/>
      <c r="L86" s="81"/>
    </row>
    <row r="87" spans="1:12" x14ac:dyDescent="0.25">
      <c r="A87" s="219">
        <v>7</v>
      </c>
      <c r="B87" s="18" t="s">
        <v>48</v>
      </c>
      <c r="C87" s="20"/>
      <c r="D87" s="20"/>
      <c r="E87" s="243"/>
      <c r="F87" s="187"/>
      <c r="H87" s="81"/>
      <c r="I87" s="81"/>
      <c r="J87" s="81"/>
      <c r="K87" s="81"/>
      <c r="L87" s="81"/>
    </row>
    <row r="88" spans="1:12" ht="29.25" x14ac:dyDescent="0.25">
      <c r="A88" s="222">
        <v>7.1</v>
      </c>
      <c r="B88" s="17" t="s">
        <v>86</v>
      </c>
      <c r="C88" s="286" t="s">
        <v>64</v>
      </c>
      <c r="D88" s="61">
        <v>3</v>
      </c>
      <c r="E88" s="243">
        <v>607296</v>
      </c>
      <c r="F88" s="187">
        <f t="shared" si="2"/>
        <v>1821888</v>
      </c>
      <c r="H88" s="81"/>
      <c r="I88" s="81"/>
      <c r="J88" s="81"/>
      <c r="K88" s="81"/>
      <c r="L88" s="81"/>
    </row>
    <row r="89" spans="1:12" ht="29.25" x14ac:dyDescent="0.25">
      <c r="A89" s="222">
        <v>7.2</v>
      </c>
      <c r="B89" s="17" t="s">
        <v>50</v>
      </c>
      <c r="C89" s="286" t="s">
        <v>64</v>
      </c>
      <c r="D89" s="61">
        <v>5</v>
      </c>
      <c r="E89" s="243">
        <v>824735</v>
      </c>
      <c r="F89" s="187">
        <f t="shared" si="2"/>
        <v>4123675</v>
      </c>
      <c r="H89" s="81"/>
      <c r="I89" s="81"/>
      <c r="J89" s="81"/>
      <c r="K89" s="81"/>
      <c r="L89" s="81"/>
    </row>
    <row r="90" spans="1:12" x14ac:dyDescent="0.25">
      <c r="A90" s="219">
        <v>8</v>
      </c>
      <c r="B90" s="18" t="s">
        <v>51</v>
      </c>
      <c r="C90" s="20"/>
      <c r="D90" s="20"/>
      <c r="E90" s="243"/>
      <c r="F90" s="187"/>
      <c r="H90" s="81"/>
      <c r="I90" s="81"/>
      <c r="J90" s="81"/>
      <c r="K90" s="81"/>
      <c r="L90" s="81"/>
    </row>
    <row r="91" spans="1:12" x14ac:dyDescent="0.25">
      <c r="A91" s="222">
        <v>8.1</v>
      </c>
      <c r="B91" s="17" t="s">
        <v>88</v>
      </c>
      <c r="C91" s="286" t="s">
        <v>53</v>
      </c>
      <c r="D91" s="61">
        <v>120</v>
      </c>
      <c r="E91" s="243">
        <v>5922</v>
      </c>
      <c r="F91" s="187">
        <f t="shared" si="2"/>
        <v>710640</v>
      </c>
      <c r="H91" s="81"/>
      <c r="I91" s="81"/>
      <c r="J91" s="81"/>
      <c r="K91" s="81"/>
      <c r="L91" s="81"/>
    </row>
    <row r="92" spans="1:12" ht="43.5" x14ac:dyDescent="0.25">
      <c r="A92" s="222">
        <v>10</v>
      </c>
      <c r="B92" s="17" t="s">
        <v>820</v>
      </c>
      <c r="C92" s="222" t="s">
        <v>55</v>
      </c>
      <c r="D92" s="31">
        <v>1</v>
      </c>
      <c r="E92" s="59">
        <f>1673138</f>
        <v>1673138</v>
      </c>
      <c r="F92" s="187">
        <f t="shared" ref="F92:F93" si="3">D92*E92</f>
        <v>1673138</v>
      </c>
      <c r="H92" s="81"/>
      <c r="I92" s="81"/>
      <c r="J92" s="81"/>
      <c r="K92" s="81"/>
      <c r="L92" s="81"/>
    </row>
    <row r="93" spans="1:12" ht="29.25" x14ac:dyDescent="0.25">
      <c r="A93" s="222">
        <v>11</v>
      </c>
      <c r="B93" s="17" t="s">
        <v>819</v>
      </c>
      <c r="C93" s="222" t="s">
        <v>23</v>
      </c>
      <c r="D93" s="31">
        <v>1</v>
      </c>
      <c r="E93" s="58">
        <v>788768</v>
      </c>
      <c r="F93" s="187">
        <f t="shared" si="3"/>
        <v>788768</v>
      </c>
      <c r="H93" s="81"/>
      <c r="I93" s="81"/>
      <c r="J93" s="81"/>
      <c r="K93" s="81"/>
      <c r="L93" s="81"/>
    </row>
    <row r="94" spans="1:12" x14ac:dyDescent="0.25">
      <c r="A94" s="219"/>
      <c r="B94" s="18" t="s">
        <v>56</v>
      </c>
      <c r="C94" s="54"/>
      <c r="D94" s="130"/>
      <c r="E94" s="28"/>
      <c r="F94" s="79">
        <f>SUM(F56:F92)</f>
        <v>54110668</v>
      </c>
      <c r="H94" s="81"/>
      <c r="I94" s="81"/>
      <c r="J94" s="81"/>
      <c r="K94" s="81"/>
      <c r="L94" s="81"/>
    </row>
    <row r="95" spans="1:12" x14ac:dyDescent="0.25">
      <c r="A95" s="19"/>
      <c r="B95" s="19" t="s">
        <v>60</v>
      </c>
      <c r="C95" s="19"/>
      <c r="D95" s="19"/>
      <c r="E95" s="19"/>
      <c r="F95" s="29">
        <f>ROUND(F94/1.3495,0)</f>
        <v>40096827</v>
      </c>
      <c r="H95" s="81"/>
      <c r="I95" s="81"/>
      <c r="J95" s="81"/>
      <c r="K95" s="81"/>
      <c r="L95" s="81"/>
    </row>
    <row r="96" spans="1:12" x14ac:dyDescent="0.25">
      <c r="A96" s="19"/>
      <c r="B96" s="19" t="s">
        <v>61</v>
      </c>
      <c r="C96" s="131">
        <v>0.24</v>
      </c>
      <c r="D96" s="19"/>
      <c r="E96" s="19"/>
      <c r="F96" s="29">
        <f>ROUND(F95*C96,0)</f>
        <v>9623238</v>
      </c>
      <c r="H96" s="81"/>
      <c r="I96" s="81"/>
      <c r="J96" s="81"/>
      <c r="K96" s="81"/>
      <c r="L96" s="81"/>
    </row>
    <row r="97" spans="1:12" x14ac:dyDescent="0.25">
      <c r="A97" s="19"/>
      <c r="B97" s="19" t="s">
        <v>57</v>
      </c>
      <c r="C97" s="131">
        <v>0.05</v>
      </c>
      <c r="D97" s="19"/>
      <c r="E97" s="19"/>
      <c r="F97" s="29">
        <f>ROUND(F95*C97,0)</f>
        <v>2004841</v>
      </c>
      <c r="H97" s="81"/>
      <c r="I97" s="81"/>
      <c r="J97" s="81"/>
      <c r="K97" s="81"/>
      <c r="L97" s="81"/>
    </row>
    <row r="98" spans="1:12" x14ac:dyDescent="0.25">
      <c r="A98" s="19"/>
      <c r="B98" s="19" t="s">
        <v>62</v>
      </c>
      <c r="C98" s="131">
        <v>0.05</v>
      </c>
      <c r="D98" s="19"/>
      <c r="E98" s="19"/>
      <c r="F98" s="29">
        <f>ROUND(F95*C98,0)</f>
        <v>2004841</v>
      </c>
      <c r="H98" s="81"/>
      <c r="I98" s="81"/>
      <c r="J98" s="81"/>
      <c r="K98" s="81"/>
      <c r="L98" s="81"/>
    </row>
    <row r="99" spans="1:12" x14ac:dyDescent="0.25">
      <c r="A99" s="19"/>
      <c r="B99" s="132" t="s">
        <v>63</v>
      </c>
      <c r="C99" s="133">
        <v>0.19</v>
      </c>
      <c r="D99" s="120"/>
      <c r="E99" s="120"/>
      <c r="F99" s="35">
        <f>ROUND(F98*19%,0)</f>
        <v>380920</v>
      </c>
      <c r="H99" s="81"/>
      <c r="I99" s="81"/>
      <c r="J99" s="81"/>
      <c r="K99" s="81"/>
      <c r="L99" s="81"/>
    </row>
    <row r="100" spans="1:12" x14ac:dyDescent="0.25">
      <c r="A100" s="19"/>
      <c r="B100" s="18" t="s">
        <v>56</v>
      </c>
      <c r="C100" s="19"/>
      <c r="D100" s="19"/>
      <c r="E100" s="19"/>
      <c r="F100" s="30">
        <f>SUM(F95:F99)</f>
        <v>54110667</v>
      </c>
      <c r="H100" s="81"/>
      <c r="I100" s="81"/>
      <c r="J100" s="81"/>
      <c r="K100" s="81"/>
      <c r="L100" s="81"/>
    </row>
    <row r="101" spans="1:12" x14ac:dyDescent="0.25">
      <c r="A101" s="33"/>
      <c r="B101" s="335"/>
      <c r="C101" s="33"/>
      <c r="D101" s="33"/>
      <c r="E101" s="33"/>
      <c r="F101" s="122"/>
      <c r="H101" s="81"/>
      <c r="I101" s="81"/>
      <c r="J101" s="81"/>
      <c r="K101" s="81"/>
      <c r="L101" s="81"/>
    </row>
    <row r="102" spans="1:12" x14ac:dyDescent="0.25">
      <c r="A102" s="33"/>
      <c r="B102" s="335"/>
      <c r="C102" s="33"/>
      <c r="D102" s="33"/>
      <c r="E102" s="33"/>
      <c r="F102" s="122"/>
      <c r="H102" s="81"/>
      <c r="I102" s="81"/>
      <c r="J102" s="81"/>
      <c r="K102" s="81"/>
      <c r="L102" s="81"/>
    </row>
    <row r="103" spans="1:12" x14ac:dyDescent="0.25">
      <c r="A103" s="33"/>
      <c r="B103" s="299" t="s">
        <v>715</v>
      </c>
      <c r="C103" s="299"/>
      <c r="D103" s="299"/>
      <c r="E103" s="299"/>
      <c r="F103" s="137">
        <f>F100</f>
        <v>54110667</v>
      </c>
      <c r="H103" s="81"/>
      <c r="I103" s="81"/>
      <c r="J103" s="182"/>
      <c r="K103" s="135"/>
      <c r="L103" s="183"/>
    </row>
    <row r="104" spans="1:12" x14ac:dyDescent="0.25">
      <c r="A104" s="33"/>
      <c r="B104" s="335"/>
      <c r="C104" s="33"/>
      <c r="D104" s="33"/>
      <c r="E104" s="33"/>
      <c r="F104" s="122"/>
      <c r="H104" s="81"/>
      <c r="I104" s="81"/>
      <c r="J104" s="81"/>
      <c r="K104" s="81"/>
      <c r="L104" s="81"/>
    </row>
    <row r="105" spans="1:12" x14ac:dyDescent="0.25">
      <c r="A105" s="33"/>
      <c r="B105" s="335" t="s">
        <v>6</v>
      </c>
      <c r="C105" s="33"/>
      <c r="D105" s="33"/>
      <c r="E105" s="33"/>
      <c r="F105" s="122"/>
      <c r="H105" s="81"/>
      <c r="I105" s="81"/>
      <c r="J105" s="81"/>
      <c r="K105" s="81"/>
      <c r="L105" s="81"/>
    </row>
    <row r="106" spans="1:12" x14ac:dyDescent="0.25">
      <c r="A106" s="81"/>
      <c r="B106" s="81"/>
      <c r="C106" s="81"/>
      <c r="D106" s="81"/>
      <c r="E106" s="81"/>
      <c r="F106" s="81"/>
      <c r="H106" s="81"/>
      <c r="I106" s="81"/>
      <c r="J106" s="81"/>
      <c r="K106" s="81"/>
      <c r="L106" s="81"/>
    </row>
    <row r="107" spans="1:12" ht="54" customHeight="1" x14ac:dyDescent="0.25">
      <c r="A107" s="468" t="s">
        <v>998</v>
      </c>
      <c r="B107" s="468"/>
      <c r="C107" s="468"/>
      <c r="D107" s="468"/>
      <c r="E107" s="468"/>
      <c r="F107" s="468"/>
      <c r="H107" s="81"/>
      <c r="I107" s="81"/>
      <c r="J107" s="81"/>
      <c r="K107" s="81"/>
      <c r="L107" s="81"/>
    </row>
    <row r="108" spans="1:12" x14ac:dyDescent="0.25">
      <c r="A108" s="526" t="s">
        <v>10</v>
      </c>
      <c r="B108" s="526" t="s">
        <v>0</v>
      </c>
      <c r="C108" s="526" t="s">
        <v>11</v>
      </c>
      <c r="D108" s="526" t="s">
        <v>12</v>
      </c>
      <c r="E108" s="526"/>
      <c r="F108" s="526"/>
      <c r="H108" s="211"/>
      <c r="I108" s="211"/>
      <c r="L108" s="81"/>
    </row>
    <row r="109" spans="1:12" x14ac:dyDescent="0.25">
      <c r="A109" s="526"/>
      <c r="B109" s="526"/>
      <c r="C109" s="526"/>
      <c r="D109" s="109" t="s">
        <v>13</v>
      </c>
      <c r="E109" s="110" t="s">
        <v>14</v>
      </c>
      <c r="F109" s="110" t="s">
        <v>15</v>
      </c>
      <c r="H109" s="211"/>
      <c r="I109" s="211"/>
      <c r="L109" s="81"/>
    </row>
    <row r="110" spans="1:12" x14ac:dyDescent="0.25">
      <c r="A110" s="223">
        <v>1</v>
      </c>
      <c r="B110" s="111" t="s">
        <v>16</v>
      </c>
      <c r="C110" s="223"/>
      <c r="D110" s="109"/>
      <c r="E110" s="110"/>
      <c r="F110" s="104"/>
      <c r="H110" s="212"/>
      <c r="I110" s="212"/>
      <c r="L110" s="81"/>
    </row>
    <row r="111" spans="1:12" ht="28.5" x14ac:dyDescent="0.25">
      <c r="A111" s="223" t="s">
        <v>697</v>
      </c>
      <c r="B111" s="105" t="s">
        <v>698</v>
      </c>
      <c r="C111" s="102" t="s">
        <v>18</v>
      </c>
      <c r="D111" s="103">
        <f>76+76</f>
        <v>152</v>
      </c>
      <c r="E111" s="199">
        <f>ROUND(4867*1.045,0)</f>
        <v>5086</v>
      </c>
      <c r="F111" s="200">
        <f>ROUND((D111*E111),0)</f>
        <v>773072</v>
      </c>
      <c r="H111" s="212"/>
      <c r="I111" s="212"/>
      <c r="L111" s="81"/>
    </row>
    <row r="112" spans="1:12" ht="42.75" x14ac:dyDescent="0.25">
      <c r="A112" s="223">
        <v>1.2</v>
      </c>
      <c r="B112" s="105" t="s">
        <v>21</v>
      </c>
      <c r="C112" s="102" t="s">
        <v>18</v>
      </c>
      <c r="D112" s="103">
        <f>+(D111)+12</f>
        <v>164</v>
      </c>
      <c r="E112" s="199">
        <f>ROUND(9200*1.045,0)</f>
        <v>9614</v>
      </c>
      <c r="F112" s="200">
        <f>ROUND((D112*E112),0)</f>
        <v>1576696</v>
      </c>
      <c r="H112" s="212"/>
      <c r="I112" s="212"/>
      <c r="L112" s="81"/>
    </row>
    <row r="113" spans="1:12" ht="42.75" x14ac:dyDescent="0.25">
      <c r="A113" s="223">
        <v>1.3</v>
      </c>
      <c r="B113" s="105" t="s">
        <v>109</v>
      </c>
      <c r="C113" s="102" t="s">
        <v>23</v>
      </c>
      <c r="D113" s="103">
        <v>2</v>
      </c>
      <c r="E113" s="199">
        <f>ROUND(171600*1.045,0)</f>
        <v>179322</v>
      </c>
      <c r="F113" s="200">
        <f>ROUND((D113*E113),0)</f>
        <v>358644</v>
      </c>
      <c r="H113" s="212"/>
      <c r="I113" s="212"/>
      <c r="L113" s="81"/>
    </row>
    <row r="114" spans="1:12" x14ac:dyDescent="0.25">
      <c r="A114" s="223">
        <v>2</v>
      </c>
      <c r="B114" s="101" t="s">
        <v>25</v>
      </c>
      <c r="C114" s="102"/>
      <c r="D114" s="109"/>
      <c r="E114" s="199"/>
      <c r="F114" s="200"/>
      <c r="H114" s="212"/>
      <c r="I114" s="212"/>
      <c r="L114" s="81"/>
    </row>
    <row r="115" spans="1:12" ht="28.5" x14ac:dyDescent="0.25">
      <c r="A115" s="223">
        <v>2.1</v>
      </c>
      <c r="B115" s="142" t="s">
        <v>110</v>
      </c>
      <c r="C115" s="102" t="s">
        <v>115</v>
      </c>
      <c r="D115" s="103">
        <f>+(76*0.8*0.15)+(76*0.5*0.15)+((3.5*0.6*0.15)*14)+((3.5*0.4*0.15)*14)</f>
        <v>22.17</v>
      </c>
      <c r="E115" s="199">
        <f>ROUND(83980*1.045,0)</f>
        <v>87759</v>
      </c>
      <c r="F115" s="200">
        <f>ROUND((D115*E115),0)</f>
        <v>1945617</v>
      </c>
      <c r="H115" s="212"/>
      <c r="I115" s="212"/>
      <c r="L115" s="81"/>
    </row>
    <row r="116" spans="1:12" x14ac:dyDescent="0.25">
      <c r="A116" s="223">
        <v>3</v>
      </c>
      <c r="B116" s="101" t="s">
        <v>28</v>
      </c>
      <c r="C116" s="102"/>
      <c r="D116" s="109"/>
      <c r="E116" s="199"/>
      <c r="F116" s="200"/>
      <c r="H116" s="212"/>
      <c r="I116" s="212"/>
      <c r="L116" s="81"/>
    </row>
    <row r="117" spans="1:12" ht="28.5" x14ac:dyDescent="0.25">
      <c r="A117" s="223">
        <v>3.1</v>
      </c>
      <c r="B117" s="105" t="s">
        <v>113</v>
      </c>
      <c r="C117" s="102" t="s">
        <v>115</v>
      </c>
      <c r="D117" s="103">
        <f>+(76*0.8*1.6)+(76*0.5*0.8)+((3.5*0.6*1.2)*14)+((3.5*0.4*0.5)*14)</f>
        <v>172.76000000000005</v>
      </c>
      <c r="E117" s="199">
        <f>ROUND(25687*1.045,0)</f>
        <v>26843</v>
      </c>
      <c r="F117" s="200">
        <f t="shared" ref="F117:F119" si="4">ROUND((D117*E117),0)</f>
        <v>4637397</v>
      </c>
      <c r="H117" s="212"/>
      <c r="I117" s="212"/>
      <c r="L117" s="81"/>
    </row>
    <row r="118" spans="1:12" ht="29.25" x14ac:dyDescent="0.25">
      <c r="A118" s="223">
        <v>3.2</v>
      </c>
      <c r="B118" s="101" t="s">
        <v>114</v>
      </c>
      <c r="C118" s="102" t="s">
        <v>115</v>
      </c>
      <c r="D118" s="103">
        <v>5</v>
      </c>
      <c r="E118" s="199">
        <f>ROUND(31640*1.045,0)</f>
        <v>33064</v>
      </c>
      <c r="F118" s="200">
        <f t="shared" si="4"/>
        <v>165320</v>
      </c>
      <c r="H118" s="212"/>
      <c r="I118" s="212"/>
      <c r="L118" s="81"/>
    </row>
    <row r="119" spans="1:12" ht="29.25" x14ac:dyDescent="0.25">
      <c r="A119" s="223">
        <v>3.3</v>
      </c>
      <c r="B119" s="101" t="s">
        <v>699</v>
      </c>
      <c r="C119" s="102" t="s">
        <v>115</v>
      </c>
      <c r="D119" s="103">
        <v>15</v>
      </c>
      <c r="E119" s="199">
        <f>ROUND(65000*1.045,0)</f>
        <v>67925</v>
      </c>
      <c r="F119" s="200">
        <f t="shared" si="4"/>
        <v>1018875</v>
      </c>
      <c r="H119" s="212"/>
      <c r="I119" s="212"/>
      <c r="L119" s="81"/>
    </row>
    <row r="120" spans="1:12" ht="28.5" x14ac:dyDescent="0.25">
      <c r="A120" s="223">
        <v>4</v>
      </c>
      <c r="B120" s="105" t="s">
        <v>700</v>
      </c>
      <c r="C120" s="102"/>
      <c r="D120" s="109"/>
      <c r="E120" s="150"/>
      <c r="F120" s="200"/>
      <c r="H120" s="213"/>
      <c r="I120" s="211"/>
      <c r="L120" s="81"/>
    </row>
    <row r="121" spans="1:12" ht="72" x14ac:dyDescent="0.25">
      <c r="A121" s="223">
        <v>4.0999999999999996</v>
      </c>
      <c r="B121" s="101" t="s">
        <v>701</v>
      </c>
      <c r="C121" s="223" t="s">
        <v>18</v>
      </c>
      <c r="D121" s="197">
        <v>76</v>
      </c>
      <c r="E121" s="201">
        <f>ROUND(8500*1.045,0)</f>
        <v>8883</v>
      </c>
      <c r="F121" s="14">
        <f>ROUND((D121*E121),0)</f>
        <v>675108</v>
      </c>
      <c r="H121" s="213"/>
      <c r="I121" s="211"/>
      <c r="L121" s="81"/>
    </row>
    <row r="122" spans="1:12" ht="43.5" x14ac:dyDescent="0.25">
      <c r="A122" s="223">
        <v>4.2</v>
      </c>
      <c r="B122" s="101" t="s">
        <v>702</v>
      </c>
      <c r="C122" s="223" t="s">
        <v>120</v>
      </c>
      <c r="D122" s="197">
        <v>14</v>
      </c>
      <c r="E122" s="201">
        <v>50000</v>
      </c>
      <c r="F122" s="14">
        <f>ROUND((D122*E122),0)</f>
        <v>700000</v>
      </c>
      <c r="H122" s="213"/>
      <c r="I122" s="211"/>
      <c r="L122" s="81"/>
    </row>
    <row r="123" spans="1:12" ht="29.25" x14ac:dyDescent="0.25">
      <c r="A123" s="223">
        <v>5</v>
      </c>
      <c r="B123" s="101" t="s">
        <v>116</v>
      </c>
      <c r="C123" s="223"/>
      <c r="D123" s="198"/>
      <c r="E123" s="201" t="s">
        <v>1</v>
      </c>
      <c r="F123" s="14"/>
      <c r="H123" s="211"/>
      <c r="I123" s="213"/>
      <c r="L123" s="81"/>
    </row>
    <row r="124" spans="1:12" ht="42.75" x14ac:dyDescent="0.25">
      <c r="A124" s="223">
        <v>5.0999999999999996</v>
      </c>
      <c r="B124" s="105" t="s">
        <v>703</v>
      </c>
      <c r="C124" s="102" t="s">
        <v>18</v>
      </c>
      <c r="D124" s="112">
        <v>76</v>
      </c>
      <c r="E124" s="199">
        <v>20640</v>
      </c>
      <c r="F124" s="200">
        <f>ROUND((D124*E124),0)</f>
        <v>1568640</v>
      </c>
      <c r="H124" s="211"/>
      <c r="I124" s="213"/>
      <c r="L124" s="81"/>
    </row>
    <row r="125" spans="1:12" ht="42.75" x14ac:dyDescent="0.25">
      <c r="A125" s="223">
        <v>5.2</v>
      </c>
      <c r="B125" s="105" t="s">
        <v>704</v>
      </c>
      <c r="C125" s="102" t="s">
        <v>18</v>
      </c>
      <c r="D125" s="103">
        <v>54</v>
      </c>
      <c r="E125" s="199">
        <f>ROUND(13098*1.045,0)</f>
        <v>13687</v>
      </c>
      <c r="F125" s="200">
        <f>ROUND((D125*E125),0)</f>
        <v>739098</v>
      </c>
      <c r="H125" s="211"/>
      <c r="I125" s="213"/>
      <c r="L125" s="81"/>
    </row>
    <row r="126" spans="1:12" ht="29.25" x14ac:dyDescent="0.25">
      <c r="A126" s="106">
        <v>5.3</v>
      </c>
      <c r="B126" s="101" t="s">
        <v>705</v>
      </c>
      <c r="C126" s="106" t="s">
        <v>120</v>
      </c>
      <c r="D126" s="107">
        <v>14</v>
      </c>
      <c r="E126" s="199">
        <f>ROUND(40379*1.045,0)</f>
        <v>42196</v>
      </c>
      <c r="F126" s="202">
        <f>SUM(D126*E126)</f>
        <v>590744</v>
      </c>
      <c r="H126" s="211"/>
      <c r="I126" s="213"/>
      <c r="L126" s="81"/>
    </row>
    <row r="127" spans="1:12" x14ac:dyDescent="0.25">
      <c r="A127" s="223">
        <v>6</v>
      </c>
      <c r="B127" s="101" t="s">
        <v>121</v>
      </c>
      <c r="C127" s="102"/>
      <c r="D127" s="109"/>
      <c r="E127" s="199" t="s">
        <v>1</v>
      </c>
      <c r="F127" s="200"/>
      <c r="H127" s="211"/>
      <c r="I127" s="213"/>
      <c r="L127" s="81"/>
    </row>
    <row r="128" spans="1:12" ht="29.25" x14ac:dyDescent="0.25">
      <c r="A128" s="223">
        <v>7</v>
      </c>
      <c r="B128" s="101" t="s">
        <v>123</v>
      </c>
      <c r="C128" s="102"/>
      <c r="D128" s="109"/>
      <c r="E128" s="199"/>
      <c r="F128" s="200" t="s">
        <v>1</v>
      </c>
      <c r="H128" s="211"/>
      <c r="I128" s="213"/>
      <c r="L128" s="81"/>
    </row>
    <row r="129" spans="1:12" ht="57" x14ac:dyDescent="0.25">
      <c r="A129" s="223">
        <v>7.1</v>
      </c>
      <c r="B129" s="105" t="s">
        <v>124</v>
      </c>
      <c r="C129" s="223" t="s">
        <v>125</v>
      </c>
      <c r="D129" s="197">
        <v>14</v>
      </c>
      <c r="E129" s="201">
        <f>ROUND(223256*1.045,0)</f>
        <v>233303</v>
      </c>
      <c r="F129" s="14">
        <f>ROUND((D129*E129),0)</f>
        <v>3266242</v>
      </c>
      <c r="H129" s="211"/>
      <c r="I129" s="213"/>
      <c r="L129" s="81"/>
    </row>
    <row r="130" spans="1:12" x14ac:dyDescent="0.25">
      <c r="A130" s="223">
        <v>8</v>
      </c>
      <c r="B130" s="101" t="s">
        <v>126</v>
      </c>
      <c r="C130" s="223"/>
      <c r="D130" s="198"/>
      <c r="E130" s="201"/>
      <c r="F130" s="14"/>
      <c r="H130" s="211"/>
      <c r="I130" s="213"/>
      <c r="L130" s="81"/>
    </row>
    <row r="131" spans="1:12" ht="28.5" x14ac:dyDescent="0.25">
      <c r="A131" s="223">
        <v>8.1</v>
      </c>
      <c r="B131" s="105" t="s">
        <v>127</v>
      </c>
      <c r="C131" s="223" t="s">
        <v>115</v>
      </c>
      <c r="D131" s="197">
        <f>(+D117*0.8)-D115-5.54</f>
        <v>110.49800000000005</v>
      </c>
      <c r="E131" s="201">
        <f>ROUND(22686*1.045,0)</f>
        <v>23707</v>
      </c>
      <c r="F131" s="14">
        <f>ROUND((D131*E131),0)</f>
        <v>2619576</v>
      </c>
      <c r="H131" s="212"/>
      <c r="I131" s="212"/>
      <c r="L131" s="81"/>
    </row>
    <row r="132" spans="1:12" ht="43.5" x14ac:dyDescent="0.25">
      <c r="A132" s="223">
        <v>8.1999999999999993</v>
      </c>
      <c r="B132" s="101" t="s">
        <v>706</v>
      </c>
      <c r="C132" s="223" t="s">
        <v>115</v>
      </c>
      <c r="D132" s="197">
        <f>+D131*0.2</f>
        <v>22.099600000000009</v>
      </c>
      <c r="E132" s="201">
        <f>ROUND(92913*1.045,0)</f>
        <v>97094</v>
      </c>
      <c r="F132" s="14">
        <f>ROUND((D132*E132),0)</f>
        <v>2145739</v>
      </c>
      <c r="H132" s="212"/>
      <c r="I132" s="212"/>
      <c r="L132" s="81"/>
    </row>
    <row r="133" spans="1:12" ht="29.25" x14ac:dyDescent="0.25">
      <c r="A133" s="223">
        <v>8.3000000000000007</v>
      </c>
      <c r="B133" s="101" t="s">
        <v>129</v>
      </c>
      <c r="C133" s="223" t="s">
        <v>115</v>
      </c>
      <c r="D133" s="197">
        <v>9</v>
      </c>
      <c r="E133" s="201">
        <f>ROUND(104720*1.045,0)</f>
        <v>109432</v>
      </c>
      <c r="F133" s="14">
        <f>ROUND((D133*E133),0)</f>
        <v>984888</v>
      </c>
      <c r="H133" s="212"/>
      <c r="I133" s="212"/>
      <c r="L133" s="81"/>
    </row>
    <row r="134" spans="1:12" ht="28.5" x14ac:dyDescent="0.25">
      <c r="A134" s="223">
        <v>9</v>
      </c>
      <c r="B134" s="105" t="s">
        <v>130</v>
      </c>
      <c r="C134" s="223"/>
      <c r="D134" s="198"/>
      <c r="E134" s="201"/>
      <c r="F134" s="14"/>
      <c r="H134" s="211"/>
      <c r="I134" s="211"/>
      <c r="L134" s="81"/>
    </row>
    <row r="135" spans="1:12" ht="57.75" x14ac:dyDescent="0.25">
      <c r="A135" s="223">
        <v>9.1</v>
      </c>
      <c r="B135" s="101" t="s">
        <v>707</v>
      </c>
      <c r="C135" s="223" t="s">
        <v>115</v>
      </c>
      <c r="D135" s="197">
        <f>+D115</f>
        <v>22.17</v>
      </c>
      <c r="E135" s="201">
        <f>ROUND(106315*1.045,0)</f>
        <v>111099</v>
      </c>
      <c r="F135" s="14">
        <f>ROUND((D135*E135),0)</f>
        <v>2463065</v>
      </c>
      <c r="H135" s="212"/>
      <c r="I135" s="212"/>
      <c r="L135" s="81"/>
    </row>
    <row r="136" spans="1:12" ht="42.75" x14ac:dyDescent="0.25">
      <c r="A136" s="223">
        <v>10</v>
      </c>
      <c r="B136" s="105" t="s">
        <v>132</v>
      </c>
      <c r="C136" s="102"/>
      <c r="D136" s="109"/>
      <c r="E136" s="199"/>
      <c r="F136" s="200"/>
      <c r="H136" s="212"/>
      <c r="I136" s="212"/>
      <c r="L136" s="81"/>
    </row>
    <row r="137" spans="1:12" ht="28.5" x14ac:dyDescent="0.25">
      <c r="A137" s="223">
        <v>10.1</v>
      </c>
      <c r="B137" s="105" t="s">
        <v>708</v>
      </c>
      <c r="C137" s="223" t="s">
        <v>120</v>
      </c>
      <c r="D137" s="197">
        <v>2</v>
      </c>
      <c r="E137" s="201">
        <f>ROUND(92000*1.045,0)</f>
        <v>96140</v>
      </c>
      <c r="F137" s="14">
        <f>ROUND((D137*E137),0)</f>
        <v>192280</v>
      </c>
      <c r="H137" s="211"/>
      <c r="I137" s="213"/>
      <c r="L137" s="81"/>
    </row>
    <row r="138" spans="1:12" ht="57" x14ac:dyDescent="0.25">
      <c r="A138" s="223">
        <v>10.199999999999999</v>
      </c>
      <c r="B138" s="105" t="s">
        <v>133</v>
      </c>
      <c r="C138" s="223" t="s">
        <v>18</v>
      </c>
      <c r="D138" s="197">
        <v>1.2</v>
      </c>
      <c r="E138" s="201">
        <f>ROUND(451034*1.045,0)</f>
        <v>471331</v>
      </c>
      <c r="F138" s="14">
        <f>ROUND((D138*E138),0)</f>
        <v>565597</v>
      </c>
      <c r="H138" s="211"/>
      <c r="I138" s="213"/>
      <c r="L138" s="81"/>
    </row>
    <row r="139" spans="1:12" ht="43.5" x14ac:dyDescent="0.25">
      <c r="A139" s="223">
        <v>10.4</v>
      </c>
      <c r="B139" s="101" t="s">
        <v>709</v>
      </c>
      <c r="C139" s="223" t="s">
        <v>120</v>
      </c>
      <c r="D139" s="197">
        <v>1</v>
      </c>
      <c r="E139" s="201">
        <f>ROUND(905000*1.045,0)</f>
        <v>945725</v>
      </c>
      <c r="F139" s="14">
        <f>ROUND((D139*E139),0)</f>
        <v>945725</v>
      </c>
      <c r="H139" s="211"/>
      <c r="I139" s="213"/>
      <c r="L139" s="81"/>
    </row>
    <row r="140" spans="1:12" x14ac:dyDescent="0.25">
      <c r="A140" s="223">
        <v>11</v>
      </c>
      <c r="B140" s="101" t="s">
        <v>136</v>
      </c>
      <c r="C140" s="223"/>
      <c r="D140" s="198"/>
      <c r="E140" s="201"/>
      <c r="F140" s="14"/>
      <c r="H140" s="211"/>
      <c r="I140" s="213"/>
      <c r="L140" s="81"/>
    </row>
    <row r="141" spans="1:12" ht="57" x14ac:dyDescent="0.25">
      <c r="A141" s="223">
        <v>11.1</v>
      </c>
      <c r="B141" s="105" t="s">
        <v>137</v>
      </c>
      <c r="C141" s="223" t="s">
        <v>115</v>
      </c>
      <c r="D141" s="197">
        <f>+D115+9+22.1</f>
        <v>53.27</v>
      </c>
      <c r="E141" s="201">
        <f>ROUND(28500*1.045,0)</f>
        <v>29783</v>
      </c>
      <c r="F141" s="14">
        <f>ROUND((D141*E141),0)</f>
        <v>1586540</v>
      </c>
      <c r="H141" s="212"/>
      <c r="I141" s="212"/>
      <c r="J141" s="211"/>
      <c r="K141" s="211"/>
      <c r="L141" s="81"/>
    </row>
    <row r="142" spans="1:12" ht="29.25" x14ac:dyDescent="0.25">
      <c r="A142" s="223">
        <v>12</v>
      </c>
      <c r="B142" s="101" t="s">
        <v>138</v>
      </c>
      <c r="C142" s="223"/>
      <c r="D142" s="198"/>
      <c r="E142" s="201"/>
      <c r="F142" s="14"/>
      <c r="H142" s="211"/>
      <c r="I142" s="211"/>
      <c r="J142" s="211"/>
      <c r="K142" s="211"/>
      <c r="L142" s="81"/>
    </row>
    <row r="143" spans="1:12" x14ac:dyDescent="0.25">
      <c r="A143" s="102">
        <v>12.2</v>
      </c>
      <c r="B143" s="101" t="s">
        <v>710</v>
      </c>
      <c r="C143" s="223" t="s">
        <v>115</v>
      </c>
      <c r="D143" s="197">
        <f>+(76*0.8*0.1)+(76*0.5*0.1)+((3.5*0.6*0.1)*14)+((3.5*0.4*0.1)*14)</f>
        <v>14.780000000000001</v>
      </c>
      <c r="E143" s="201">
        <v>630000</v>
      </c>
      <c r="F143" s="14">
        <f t="shared" ref="F143:F144" si="5">ROUND((D143*E143),0)</f>
        <v>9311400</v>
      </c>
      <c r="H143" s="212"/>
      <c r="I143" s="212"/>
      <c r="J143" s="211"/>
      <c r="K143" s="211"/>
      <c r="L143" s="81"/>
    </row>
    <row r="144" spans="1:12" ht="43.5" x14ac:dyDescent="0.25">
      <c r="A144" s="223">
        <v>12.3</v>
      </c>
      <c r="B144" s="101" t="s">
        <v>711</v>
      </c>
      <c r="C144" s="223" t="s">
        <v>20</v>
      </c>
      <c r="D144" s="197">
        <v>10</v>
      </c>
      <c r="E144" s="201">
        <f>ROUND(65000*1.045,0)</f>
        <v>67925</v>
      </c>
      <c r="F144" s="14">
        <f t="shared" si="5"/>
        <v>679250</v>
      </c>
      <c r="H144" s="212"/>
      <c r="I144" s="212"/>
      <c r="J144" s="211"/>
      <c r="K144" s="211"/>
      <c r="L144" s="81"/>
    </row>
    <row r="145" spans="1:12" x14ac:dyDescent="0.25">
      <c r="A145" s="223">
        <v>13</v>
      </c>
      <c r="B145" s="101" t="s">
        <v>51</v>
      </c>
      <c r="C145" s="102"/>
      <c r="D145" s="109"/>
      <c r="E145" s="199"/>
      <c r="F145" s="200"/>
      <c r="H145" s="212"/>
      <c r="I145" s="212"/>
      <c r="J145" s="211"/>
      <c r="K145" s="211"/>
      <c r="L145" s="81"/>
    </row>
    <row r="146" spans="1:12" ht="57" x14ac:dyDescent="0.25">
      <c r="A146" s="223">
        <v>13.1</v>
      </c>
      <c r="B146" s="105" t="s">
        <v>140</v>
      </c>
      <c r="C146" s="223" t="s">
        <v>141</v>
      </c>
      <c r="D146" s="197">
        <v>100</v>
      </c>
      <c r="E146" s="201">
        <f>ROUND(5850*1.045,0)</f>
        <v>6113</v>
      </c>
      <c r="F146" s="14">
        <f>ROUND((D146*E146),0)</f>
        <v>611300</v>
      </c>
      <c r="H146" s="212"/>
      <c r="I146" s="212"/>
      <c r="J146" s="211"/>
      <c r="K146" s="211"/>
      <c r="L146" s="81"/>
    </row>
    <row r="147" spans="1:12" x14ac:dyDescent="0.25">
      <c r="A147" s="219"/>
      <c r="B147" s="18" t="s">
        <v>56</v>
      </c>
      <c r="C147" s="54"/>
      <c r="D147" s="130"/>
      <c r="E147" s="28"/>
      <c r="F147" s="79">
        <f>SUM(F111:F146)</f>
        <v>40120813</v>
      </c>
      <c r="H147" s="212"/>
      <c r="I147" s="212"/>
      <c r="J147" s="211"/>
      <c r="K147" s="211"/>
      <c r="L147" s="81"/>
    </row>
    <row r="148" spans="1:12" x14ac:dyDescent="0.25">
      <c r="A148" s="19"/>
      <c r="B148" s="19" t="s">
        <v>60</v>
      </c>
      <c r="C148" s="19"/>
      <c r="D148" s="19"/>
      <c r="E148" s="19"/>
      <c r="F148" s="29">
        <f>ROUND(F147/1.3495,0)</f>
        <v>29730132</v>
      </c>
      <c r="H148" s="211"/>
      <c r="I148" s="211"/>
      <c r="J148" s="211"/>
      <c r="K148" s="211"/>
      <c r="L148" s="81"/>
    </row>
    <row r="149" spans="1:12" x14ac:dyDescent="0.25">
      <c r="A149" s="19"/>
      <c r="B149" s="19" t="s">
        <v>61</v>
      </c>
      <c r="C149" s="131">
        <v>0.24</v>
      </c>
      <c r="D149" s="19"/>
      <c r="E149" s="19"/>
      <c r="F149" s="29">
        <f>ROUND(F148*C149,0)</f>
        <v>7135232</v>
      </c>
      <c r="H149" s="214"/>
      <c r="I149" s="214"/>
      <c r="J149" s="214"/>
      <c r="K149" s="214"/>
      <c r="L149" s="81"/>
    </row>
    <row r="150" spans="1:12" x14ac:dyDescent="0.25">
      <c r="A150" s="19"/>
      <c r="B150" s="19" t="s">
        <v>57</v>
      </c>
      <c r="C150" s="131">
        <v>0.05</v>
      </c>
      <c r="D150" s="19"/>
      <c r="E150" s="19"/>
      <c r="F150" s="29">
        <f>ROUND(F148*C150,0)</f>
        <v>1486507</v>
      </c>
      <c r="H150" s="214"/>
      <c r="I150" s="214"/>
      <c r="J150" s="214"/>
      <c r="K150" s="214"/>
      <c r="L150" s="81"/>
    </row>
    <row r="151" spans="1:12" x14ac:dyDescent="0.25">
      <c r="A151" s="19"/>
      <c r="B151" s="19" t="s">
        <v>62</v>
      </c>
      <c r="C151" s="131">
        <v>0.05</v>
      </c>
      <c r="D151" s="19"/>
      <c r="E151" s="19"/>
      <c r="F151" s="29">
        <f>ROUND(F148*C151,0)</f>
        <v>1486507</v>
      </c>
      <c r="H151" s="2"/>
      <c r="L151" s="81"/>
    </row>
    <row r="152" spans="1:12" x14ac:dyDescent="0.25">
      <c r="A152" s="19"/>
      <c r="B152" s="132" t="s">
        <v>63</v>
      </c>
      <c r="C152" s="133">
        <v>0.19</v>
      </c>
      <c r="D152" s="120"/>
      <c r="E152" s="120"/>
      <c r="F152" s="35">
        <f>ROUND(F151*19%,0)</f>
        <v>282436</v>
      </c>
      <c r="H152" s="81"/>
      <c r="I152" s="81"/>
      <c r="J152" s="81"/>
      <c r="K152" s="81"/>
      <c r="L152" s="81"/>
    </row>
    <row r="153" spans="1:12" x14ac:dyDescent="0.25">
      <c r="A153" s="19"/>
      <c r="B153" s="18" t="s">
        <v>56</v>
      </c>
      <c r="C153" s="19"/>
      <c r="D153" s="19"/>
      <c r="E153" s="19"/>
      <c r="F153" s="30">
        <f>SUM(F148:F152)</f>
        <v>40120814</v>
      </c>
      <c r="H153" s="81"/>
      <c r="I153" s="81"/>
      <c r="J153" s="81"/>
      <c r="K153" s="81"/>
      <c r="L153" s="81"/>
    </row>
    <row r="154" spans="1:12" x14ac:dyDescent="0.25">
      <c r="A154" s="114"/>
      <c r="B154" s="114"/>
      <c r="C154" s="114"/>
      <c r="D154" s="114"/>
      <c r="E154" s="114"/>
      <c r="F154" s="114"/>
      <c r="H154" s="81"/>
      <c r="I154" s="81"/>
      <c r="J154" s="81"/>
      <c r="K154" s="81"/>
      <c r="L154" s="81"/>
    </row>
    <row r="155" spans="1:12" x14ac:dyDescent="0.25">
      <c r="A155" s="81"/>
      <c r="B155" s="81"/>
      <c r="C155" s="81"/>
      <c r="D155" s="81"/>
      <c r="E155" s="81"/>
      <c r="F155" s="81"/>
      <c r="H155" s="81"/>
      <c r="I155" s="81"/>
      <c r="J155" s="81"/>
      <c r="K155" s="81"/>
      <c r="L155" s="81"/>
    </row>
    <row r="156" spans="1:12" x14ac:dyDescent="0.25">
      <c r="A156" s="81"/>
      <c r="B156" s="81"/>
      <c r="C156" s="81"/>
      <c r="D156" s="81"/>
      <c r="E156" s="81"/>
      <c r="F156" s="81"/>
      <c r="H156" s="81"/>
      <c r="I156" s="81"/>
      <c r="J156" s="81"/>
      <c r="K156" s="81"/>
      <c r="L156" s="81"/>
    </row>
    <row r="157" spans="1:12" ht="54.75" customHeight="1" x14ac:dyDescent="0.25">
      <c r="A157" s="469" t="s">
        <v>999</v>
      </c>
      <c r="B157" s="469"/>
      <c r="C157" s="469"/>
      <c r="D157" s="469"/>
      <c r="E157" s="469"/>
      <c r="F157" s="469"/>
      <c r="H157" s="81"/>
      <c r="I157" s="81"/>
      <c r="J157" s="81"/>
      <c r="K157" s="81"/>
      <c r="L157" s="81"/>
    </row>
    <row r="158" spans="1:12" x14ac:dyDescent="0.25">
      <c r="A158" s="96"/>
      <c r="B158" s="96"/>
      <c r="C158" s="96"/>
      <c r="D158" s="97"/>
      <c r="E158" s="98"/>
      <c r="F158" s="98"/>
      <c r="H158" s="81"/>
      <c r="I158" s="81"/>
      <c r="J158" s="81"/>
      <c r="K158" s="81"/>
      <c r="L158" s="81"/>
    </row>
    <row r="159" spans="1:12" x14ac:dyDescent="0.25">
      <c r="A159" s="470" t="s">
        <v>10</v>
      </c>
      <c r="B159" s="470" t="s">
        <v>0</v>
      </c>
      <c r="C159" s="470" t="s">
        <v>11</v>
      </c>
      <c r="D159" s="470" t="s">
        <v>12</v>
      </c>
      <c r="E159" s="470"/>
      <c r="F159" s="470"/>
      <c r="H159" s="81"/>
      <c r="I159" s="81"/>
      <c r="J159" s="81"/>
      <c r="K159" s="81"/>
      <c r="L159" s="81"/>
    </row>
    <row r="160" spans="1:12" x14ac:dyDescent="0.25">
      <c r="A160" s="470"/>
      <c r="B160" s="470"/>
      <c r="C160" s="470"/>
      <c r="D160" s="99" t="s">
        <v>13</v>
      </c>
      <c r="E160" s="100" t="s">
        <v>14</v>
      </c>
      <c r="F160" s="100" t="s">
        <v>15</v>
      </c>
      <c r="H160" s="81"/>
      <c r="I160" s="81"/>
      <c r="J160" s="81"/>
      <c r="K160" s="81"/>
      <c r="L160" s="81"/>
    </row>
    <row r="161" spans="1:12" x14ac:dyDescent="0.25">
      <c r="A161" s="221">
        <v>1</v>
      </c>
      <c r="B161" s="113" t="s">
        <v>16</v>
      </c>
      <c r="C161" s="221"/>
      <c r="D161" s="99"/>
      <c r="E161" s="100"/>
      <c r="F161" s="104"/>
      <c r="H161" s="81"/>
      <c r="I161" s="81"/>
      <c r="J161" s="81"/>
      <c r="K161" s="81"/>
      <c r="L161" s="81"/>
    </row>
    <row r="162" spans="1:12" ht="28.5" x14ac:dyDescent="0.25">
      <c r="A162" s="223" t="s">
        <v>697</v>
      </c>
      <c r="B162" s="105" t="s">
        <v>698</v>
      </c>
      <c r="C162" s="102" t="s">
        <v>18</v>
      </c>
      <c r="D162" s="103">
        <v>72</v>
      </c>
      <c r="E162" s="199">
        <f>ROUND(4867*1.045,0)</f>
        <v>5086</v>
      </c>
      <c r="F162" s="200">
        <f>ROUND((D162*E162),0)</f>
        <v>366192</v>
      </c>
      <c r="H162" s="81"/>
      <c r="I162" s="81"/>
      <c r="J162" s="81"/>
      <c r="K162" s="81"/>
      <c r="L162" s="81"/>
    </row>
    <row r="163" spans="1:12" ht="42.75" x14ac:dyDescent="0.25">
      <c r="A163" s="223">
        <v>1.2</v>
      </c>
      <c r="B163" s="105" t="s">
        <v>21</v>
      </c>
      <c r="C163" s="102" t="s">
        <v>18</v>
      </c>
      <c r="D163" s="103">
        <f>+(D162)+2</f>
        <v>74</v>
      </c>
      <c r="E163" s="199">
        <f>ROUND(9200*1.045,0)</f>
        <v>9614</v>
      </c>
      <c r="F163" s="200">
        <f>ROUND((D163*E163),0)</f>
        <v>711436</v>
      </c>
      <c r="H163" s="81"/>
      <c r="I163" s="81"/>
      <c r="J163" s="81"/>
      <c r="K163" s="81"/>
      <c r="L163" s="81"/>
    </row>
    <row r="164" spans="1:12" ht="42.75" x14ac:dyDescent="0.25">
      <c r="A164" s="223">
        <v>1.3</v>
      </c>
      <c r="B164" s="105" t="s">
        <v>109</v>
      </c>
      <c r="C164" s="102" t="s">
        <v>23</v>
      </c>
      <c r="D164" s="103">
        <v>2</v>
      </c>
      <c r="E164" s="199">
        <f>ROUND(171600*1.045,0)</f>
        <v>179322</v>
      </c>
      <c r="F164" s="200">
        <f>ROUND((D164*E164),0)</f>
        <v>358644</v>
      </c>
      <c r="H164" s="81"/>
      <c r="I164" s="81"/>
      <c r="J164" s="81"/>
      <c r="K164" s="81"/>
      <c r="L164" s="81"/>
    </row>
    <row r="165" spans="1:12" x14ac:dyDescent="0.25">
      <c r="A165" s="221">
        <v>2</v>
      </c>
      <c r="B165" s="116" t="s">
        <v>25</v>
      </c>
      <c r="C165" s="108"/>
      <c r="D165" s="99"/>
      <c r="E165" s="203"/>
      <c r="F165" s="200"/>
      <c r="H165" s="81"/>
      <c r="I165" s="81"/>
      <c r="J165" s="81"/>
      <c r="K165" s="81"/>
      <c r="L165" s="81"/>
    </row>
    <row r="166" spans="1:12" ht="28.5" x14ac:dyDescent="0.25">
      <c r="A166" s="223">
        <v>2.1</v>
      </c>
      <c r="B166" s="118" t="s">
        <v>110</v>
      </c>
      <c r="C166" s="102" t="s">
        <v>115</v>
      </c>
      <c r="D166" s="103">
        <f>+(72*0.5*0.15)+((3.5*0.4*0.15)*19)</f>
        <v>9.39</v>
      </c>
      <c r="E166" s="199">
        <f>ROUND(83980*1.045,0)</f>
        <v>87759</v>
      </c>
      <c r="F166" s="200">
        <f>ROUND((D166*E166),0)</f>
        <v>824057</v>
      </c>
      <c r="H166" s="81"/>
      <c r="I166" s="81"/>
      <c r="J166" s="81"/>
      <c r="K166" s="81"/>
      <c r="L166" s="81"/>
    </row>
    <row r="167" spans="1:12" x14ac:dyDescent="0.25">
      <c r="A167" s="221">
        <v>3</v>
      </c>
      <c r="B167" s="113" t="s">
        <v>28</v>
      </c>
      <c r="C167" s="108"/>
      <c r="D167" s="99"/>
      <c r="E167" s="203"/>
      <c r="F167" s="200"/>
      <c r="H167" s="81"/>
      <c r="I167" s="81"/>
      <c r="J167" s="81"/>
      <c r="K167" s="81"/>
      <c r="L167" s="81"/>
    </row>
    <row r="168" spans="1:12" ht="29.25" x14ac:dyDescent="0.25">
      <c r="A168" s="223">
        <v>3.1</v>
      </c>
      <c r="B168" s="101" t="s">
        <v>113</v>
      </c>
      <c r="C168" s="102" t="s">
        <v>115</v>
      </c>
      <c r="D168" s="103">
        <f>+(72*0.5*1.2)+((3.5*0.4*0.6)*19)</f>
        <v>59.16</v>
      </c>
      <c r="E168" s="199">
        <f>ROUND(25687*1.045,0)</f>
        <v>26843</v>
      </c>
      <c r="F168" s="200">
        <f t="shared" ref="F168:F170" si="6">ROUND((D168*E168),0)</f>
        <v>1588032</v>
      </c>
      <c r="H168" s="81"/>
      <c r="I168" s="81"/>
      <c r="J168" s="81"/>
      <c r="K168" s="81"/>
      <c r="L168" s="81"/>
    </row>
    <row r="169" spans="1:12" ht="29.25" x14ac:dyDescent="0.25">
      <c r="A169" s="223">
        <v>3.2</v>
      </c>
      <c r="B169" s="101" t="s">
        <v>114</v>
      </c>
      <c r="C169" s="102" t="s">
        <v>115</v>
      </c>
      <c r="D169" s="103">
        <v>3</v>
      </c>
      <c r="E169" s="199">
        <f>ROUND(31640*1.045,0)</f>
        <v>33064</v>
      </c>
      <c r="F169" s="200">
        <f t="shared" si="6"/>
        <v>99192</v>
      </c>
      <c r="H169" s="81"/>
      <c r="I169" s="81"/>
      <c r="J169" s="81"/>
      <c r="K169" s="81"/>
      <c r="L169" s="81"/>
    </row>
    <row r="170" spans="1:12" ht="29.25" x14ac:dyDescent="0.25">
      <c r="A170" s="223">
        <v>3.3</v>
      </c>
      <c r="B170" s="101" t="s">
        <v>699</v>
      </c>
      <c r="C170" s="102" t="s">
        <v>115</v>
      </c>
      <c r="D170" s="103">
        <v>8</v>
      </c>
      <c r="E170" s="199">
        <f>ROUND(65000*1.045,0)</f>
        <v>67925</v>
      </c>
      <c r="F170" s="200">
        <f t="shared" si="6"/>
        <v>543400</v>
      </c>
      <c r="H170" s="81"/>
      <c r="I170" s="81"/>
      <c r="J170" s="81"/>
      <c r="K170" s="81"/>
      <c r="L170" s="81"/>
    </row>
    <row r="171" spans="1:12" ht="30" x14ac:dyDescent="0.25">
      <c r="A171" s="221">
        <v>4</v>
      </c>
      <c r="B171" s="116" t="s">
        <v>700</v>
      </c>
      <c r="C171" s="108"/>
      <c r="D171" s="99"/>
      <c r="E171" s="204"/>
      <c r="F171" s="200"/>
      <c r="H171" s="81"/>
      <c r="I171" s="81"/>
      <c r="J171" s="81"/>
      <c r="K171" s="81"/>
      <c r="L171" s="81"/>
    </row>
    <row r="172" spans="1:12" ht="71.25" x14ac:dyDescent="0.25">
      <c r="A172" s="223">
        <v>4.0999999999999996</v>
      </c>
      <c r="B172" s="105" t="s">
        <v>701</v>
      </c>
      <c r="C172" s="223" t="s">
        <v>18</v>
      </c>
      <c r="D172" s="197">
        <v>72</v>
      </c>
      <c r="E172" s="201">
        <f>ROUND(8500*1.045,0)</f>
        <v>8883</v>
      </c>
      <c r="F172" s="14">
        <f>ROUND((D172*E172),0)</f>
        <v>639576</v>
      </c>
      <c r="H172" s="81"/>
      <c r="I172" s="81"/>
      <c r="J172" s="81"/>
      <c r="K172" s="81"/>
      <c r="L172" s="81"/>
    </row>
    <row r="173" spans="1:12" ht="42.75" x14ac:dyDescent="0.25">
      <c r="A173" s="223">
        <v>4.2</v>
      </c>
      <c r="B173" s="105" t="s">
        <v>702</v>
      </c>
      <c r="C173" s="223" t="s">
        <v>120</v>
      </c>
      <c r="D173" s="197">
        <v>19</v>
      </c>
      <c r="E173" s="201">
        <v>50000</v>
      </c>
      <c r="F173" s="14">
        <f>ROUND((D173*E173),0)</f>
        <v>950000</v>
      </c>
      <c r="H173" s="81"/>
      <c r="I173" s="81"/>
      <c r="J173" s="81"/>
      <c r="K173" s="81"/>
      <c r="L173" s="81"/>
    </row>
    <row r="174" spans="1:12" x14ac:dyDescent="0.25">
      <c r="A174" s="221">
        <v>8</v>
      </c>
      <c r="B174" s="113" t="s">
        <v>126</v>
      </c>
      <c r="C174" s="108"/>
      <c r="D174" s="99"/>
      <c r="E174" s="203"/>
      <c r="F174" s="200"/>
      <c r="H174" s="81"/>
      <c r="I174" s="81"/>
      <c r="J174" s="81"/>
      <c r="K174" s="81"/>
      <c r="L174" s="81"/>
    </row>
    <row r="175" spans="1:12" ht="28.5" x14ac:dyDescent="0.25">
      <c r="A175" s="223">
        <v>8.1</v>
      </c>
      <c r="B175" s="105" t="s">
        <v>127</v>
      </c>
      <c r="C175" s="102" t="s">
        <v>115</v>
      </c>
      <c r="D175" s="103">
        <f>(+D168*0.8)-D166-8</f>
        <v>29.938000000000002</v>
      </c>
      <c r="E175" s="199">
        <f>ROUND(22686*1.045,0)</f>
        <v>23707</v>
      </c>
      <c r="F175" s="200">
        <f>ROUND((D175*E175),0)</f>
        <v>709740</v>
      </c>
      <c r="H175" s="81"/>
      <c r="I175" s="81"/>
      <c r="J175" s="81"/>
      <c r="K175" s="81"/>
      <c r="L175" s="81"/>
    </row>
    <row r="176" spans="1:12" ht="42.75" x14ac:dyDescent="0.25">
      <c r="A176" s="223">
        <v>8.1999999999999993</v>
      </c>
      <c r="B176" s="105" t="s">
        <v>706</v>
      </c>
      <c r="C176" s="102" t="s">
        <v>115</v>
      </c>
      <c r="D176" s="103">
        <f>+D175*0.2</f>
        <v>5.9876000000000005</v>
      </c>
      <c r="E176" s="199">
        <f>ROUND(92913*1.045,0)</f>
        <v>97094</v>
      </c>
      <c r="F176" s="200">
        <f>ROUND((D176*E176),0)</f>
        <v>581360</v>
      </c>
      <c r="H176" s="81"/>
      <c r="I176" s="81"/>
      <c r="J176" s="81"/>
      <c r="K176" s="81"/>
      <c r="L176" s="81"/>
    </row>
    <row r="177" spans="1:12" ht="29.25" x14ac:dyDescent="0.25">
      <c r="A177" s="223">
        <v>8.3000000000000007</v>
      </c>
      <c r="B177" s="101" t="s">
        <v>129</v>
      </c>
      <c r="C177" s="102" t="s">
        <v>115</v>
      </c>
      <c r="D177" s="103">
        <v>3</v>
      </c>
      <c r="E177" s="199">
        <f>ROUND(104720*1.045,0)</f>
        <v>109432</v>
      </c>
      <c r="F177" s="200">
        <f>ROUND((D177*E177),0)</f>
        <v>328296</v>
      </c>
      <c r="H177" s="81"/>
      <c r="I177" s="81"/>
      <c r="J177" s="81"/>
      <c r="K177" s="81"/>
      <c r="L177" s="81"/>
    </row>
    <row r="178" spans="1:12" ht="30" x14ac:dyDescent="0.25">
      <c r="A178" s="221">
        <v>9</v>
      </c>
      <c r="B178" s="116" t="s">
        <v>130</v>
      </c>
      <c r="C178" s="108"/>
      <c r="D178" s="99"/>
      <c r="E178" s="203"/>
      <c r="F178" s="200"/>
      <c r="H178" s="81"/>
      <c r="I178" s="81"/>
      <c r="J178" s="81"/>
      <c r="K178" s="81"/>
      <c r="L178" s="81"/>
    </row>
    <row r="179" spans="1:12" ht="57" x14ac:dyDescent="0.25">
      <c r="A179" s="223">
        <v>9.1</v>
      </c>
      <c r="B179" s="115" t="s">
        <v>707</v>
      </c>
      <c r="C179" s="223" t="s">
        <v>115</v>
      </c>
      <c r="D179" s="197">
        <f>+D166</f>
        <v>9.39</v>
      </c>
      <c r="E179" s="201">
        <f>ROUND(106315*1.045,0)</f>
        <v>111099</v>
      </c>
      <c r="F179" s="14">
        <f>ROUND((D179*E179),0)</f>
        <v>1043220</v>
      </c>
      <c r="H179" s="81"/>
      <c r="I179" s="81"/>
      <c r="J179" s="81"/>
      <c r="K179" s="81"/>
      <c r="L179" s="81"/>
    </row>
    <row r="180" spans="1:12" x14ac:dyDescent="0.25">
      <c r="A180" s="221">
        <v>11</v>
      </c>
      <c r="B180" s="113" t="s">
        <v>136</v>
      </c>
      <c r="C180" s="221"/>
      <c r="D180" s="205"/>
      <c r="E180" s="206"/>
      <c r="F180" s="14"/>
      <c r="H180" s="81"/>
      <c r="I180" s="81"/>
      <c r="J180" s="81"/>
      <c r="K180" s="81"/>
      <c r="L180" s="81"/>
    </row>
    <row r="181" spans="1:12" ht="57.75" x14ac:dyDescent="0.25">
      <c r="A181" s="223">
        <v>11.1</v>
      </c>
      <c r="B181" s="143" t="s">
        <v>137</v>
      </c>
      <c r="C181" s="223" t="s">
        <v>115</v>
      </c>
      <c r="D181" s="197">
        <f>+D166+9+3</f>
        <v>21.39</v>
      </c>
      <c r="E181" s="201">
        <f>ROUND(28500*1.045,0)</f>
        <v>29783</v>
      </c>
      <c r="F181" s="14">
        <f>ROUND((D181*E181),0)</f>
        <v>637058</v>
      </c>
      <c r="H181" s="81"/>
      <c r="I181" s="81"/>
      <c r="J181" s="81"/>
      <c r="K181" s="81"/>
      <c r="L181" s="81"/>
    </row>
    <row r="182" spans="1:12" ht="30" x14ac:dyDescent="0.25">
      <c r="A182" s="221">
        <v>12</v>
      </c>
      <c r="B182" s="116" t="s">
        <v>138</v>
      </c>
      <c r="C182" s="221"/>
      <c r="D182" s="205"/>
      <c r="E182" s="206"/>
      <c r="F182" s="14"/>
      <c r="H182" s="81"/>
      <c r="I182" s="81"/>
      <c r="J182" s="81"/>
      <c r="K182" s="81"/>
      <c r="L182" s="81"/>
    </row>
    <row r="183" spans="1:12" ht="42.75" x14ac:dyDescent="0.25">
      <c r="A183" s="223">
        <v>12.3</v>
      </c>
      <c r="B183" s="105" t="s">
        <v>711</v>
      </c>
      <c r="C183" s="223" t="s">
        <v>20</v>
      </c>
      <c r="D183" s="197">
        <v>5</v>
      </c>
      <c r="E183" s="201">
        <f>ROUND(65000*1.045,0)</f>
        <v>67925</v>
      </c>
      <c r="F183" s="14">
        <f t="shared" ref="F183" si="7">ROUND((D183*E183),0)</f>
        <v>339625</v>
      </c>
      <c r="H183" s="81"/>
      <c r="I183" s="81"/>
      <c r="J183" s="81"/>
      <c r="K183" s="81"/>
      <c r="L183" s="81"/>
    </row>
    <row r="184" spans="1:12" x14ac:dyDescent="0.25">
      <c r="A184" s="221">
        <v>13</v>
      </c>
      <c r="B184" s="113" t="s">
        <v>51</v>
      </c>
      <c r="C184" s="108"/>
      <c r="D184" s="99"/>
      <c r="E184" s="203"/>
      <c r="F184" s="200"/>
      <c r="H184" s="81"/>
      <c r="I184" s="81"/>
      <c r="J184" s="81"/>
      <c r="K184" s="81"/>
      <c r="L184" s="81"/>
    </row>
    <row r="185" spans="1:12" x14ac:dyDescent="0.25">
      <c r="A185" s="219"/>
      <c r="B185" s="18" t="s">
        <v>56</v>
      </c>
      <c r="C185" s="54"/>
      <c r="D185" s="130"/>
      <c r="E185" s="28"/>
      <c r="F185" s="79">
        <f>SUM(F158:F184)</f>
        <v>9719828</v>
      </c>
      <c r="H185" s="81"/>
      <c r="I185" s="81"/>
      <c r="J185" s="81"/>
      <c r="K185" s="81"/>
      <c r="L185" s="81"/>
    </row>
    <row r="186" spans="1:12" x14ac:dyDescent="0.25">
      <c r="A186" s="19"/>
      <c r="B186" s="19" t="s">
        <v>60</v>
      </c>
      <c r="C186" s="19"/>
      <c r="D186" s="19"/>
      <c r="E186" s="19"/>
      <c r="F186" s="29">
        <f>ROUND(F185/1.3495,0)</f>
        <v>7202540</v>
      </c>
      <c r="H186" s="81"/>
      <c r="I186" s="81"/>
      <c r="J186" s="81"/>
      <c r="K186" s="81"/>
      <c r="L186" s="81"/>
    </row>
    <row r="187" spans="1:12" x14ac:dyDescent="0.25">
      <c r="A187" s="19"/>
      <c r="B187" s="19" t="s">
        <v>61</v>
      </c>
      <c r="C187" s="131">
        <v>0.24</v>
      </c>
      <c r="D187" s="19"/>
      <c r="E187" s="19"/>
      <c r="F187" s="29">
        <f>ROUND(F186*C187,0)</f>
        <v>1728610</v>
      </c>
      <c r="H187" s="81"/>
      <c r="I187" s="81"/>
      <c r="J187" s="81"/>
      <c r="K187" s="81"/>
      <c r="L187" s="81"/>
    </row>
    <row r="188" spans="1:12" x14ac:dyDescent="0.25">
      <c r="A188" s="19"/>
      <c r="B188" s="19" t="s">
        <v>57</v>
      </c>
      <c r="C188" s="131">
        <v>0.05</v>
      </c>
      <c r="D188" s="19"/>
      <c r="E188" s="19"/>
      <c r="F188" s="29">
        <f>ROUND(F186*C188,0)</f>
        <v>360127</v>
      </c>
      <c r="H188" s="81"/>
      <c r="I188" s="81"/>
      <c r="J188" s="81"/>
      <c r="K188" s="81"/>
      <c r="L188" s="81"/>
    </row>
    <row r="189" spans="1:12" x14ac:dyDescent="0.25">
      <c r="A189" s="19"/>
      <c r="B189" s="19" t="s">
        <v>62</v>
      </c>
      <c r="C189" s="131">
        <v>0.05</v>
      </c>
      <c r="D189" s="19"/>
      <c r="E189" s="19"/>
      <c r="F189" s="29">
        <f>ROUND(F186*C189,0)</f>
        <v>360127</v>
      </c>
      <c r="H189" s="81"/>
      <c r="I189" s="81"/>
      <c r="J189" s="81"/>
      <c r="K189" s="81"/>
      <c r="L189" s="81"/>
    </row>
    <row r="190" spans="1:12" x14ac:dyDescent="0.25">
      <c r="A190" s="19"/>
      <c r="B190" s="132" t="s">
        <v>63</v>
      </c>
      <c r="C190" s="133">
        <v>0.19</v>
      </c>
      <c r="D190" s="120"/>
      <c r="E190" s="120"/>
      <c r="F190" s="35">
        <f>ROUND(F189*19%,0)</f>
        <v>68424</v>
      </c>
      <c r="H190" s="81"/>
      <c r="I190" s="81"/>
      <c r="J190" s="81"/>
      <c r="K190" s="81"/>
      <c r="L190" s="81"/>
    </row>
    <row r="191" spans="1:12" x14ac:dyDescent="0.25">
      <c r="A191" s="19"/>
      <c r="B191" s="18" t="s">
        <v>56</v>
      </c>
      <c r="C191" s="19"/>
      <c r="D191" s="19"/>
      <c r="E191" s="19"/>
      <c r="F191" s="30">
        <f>SUM(F186:F190)</f>
        <v>9719828</v>
      </c>
      <c r="H191" s="81"/>
      <c r="I191" s="81"/>
      <c r="J191" s="81"/>
      <c r="K191" s="81"/>
      <c r="L191" s="81"/>
    </row>
    <row r="192" spans="1:12" x14ac:dyDescent="0.25">
      <c r="A192" s="81"/>
      <c r="B192" s="81"/>
      <c r="C192" s="81"/>
      <c r="D192" s="81"/>
      <c r="E192" s="81"/>
      <c r="F192" s="81"/>
      <c r="H192" s="81"/>
      <c r="I192" s="81"/>
      <c r="J192" s="81"/>
      <c r="K192" s="81"/>
      <c r="L192" s="81"/>
    </row>
    <row r="193" spans="1:12" x14ac:dyDescent="0.25">
      <c r="A193" s="81"/>
      <c r="B193" s="81"/>
      <c r="C193" s="81"/>
      <c r="D193" s="81"/>
      <c r="E193" s="81"/>
      <c r="F193" s="81"/>
      <c r="H193" s="81"/>
      <c r="I193" s="81"/>
      <c r="J193" s="81"/>
      <c r="K193" s="81"/>
      <c r="L193" s="81"/>
    </row>
    <row r="194" spans="1:12" x14ac:dyDescent="0.25">
      <c r="A194" s="81"/>
      <c r="B194" s="81"/>
      <c r="C194" s="81"/>
      <c r="D194" s="81"/>
      <c r="E194" s="81"/>
      <c r="F194" s="81"/>
      <c r="H194" s="81"/>
      <c r="I194" s="81"/>
      <c r="J194" s="81"/>
      <c r="K194" s="81"/>
      <c r="L194" s="81"/>
    </row>
    <row r="195" spans="1:12" ht="42" customHeight="1" x14ac:dyDescent="0.25">
      <c r="A195" s="422" t="s">
        <v>1000</v>
      </c>
      <c r="B195" s="422"/>
      <c r="C195" s="422"/>
      <c r="D195" s="422"/>
      <c r="E195" s="422"/>
      <c r="F195" s="422"/>
      <c r="H195" s="81"/>
      <c r="I195" s="81"/>
      <c r="J195" s="81"/>
      <c r="K195" s="81"/>
      <c r="L195" s="81"/>
    </row>
    <row r="196" spans="1:12" x14ac:dyDescent="0.25">
      <c r="A196" s="456"/>
      <c r="B196" s="456"/>
      <c r="C196" s="456"/>
      <c r="D196" s="456"/>
      <c r="E196" s="456"/>
      <c r="F196" s="456"/>
      <c r="H196" s="81"/>
      <c r="I196" s="81"/>
      <c r="J196" s="81"/>
      <c r="K196" s="81"/>
      <c r="L196" s="81"/>
    </row>
    <row r="197" spans="1:12" x14ac:dyDescent="0.25">
      <c r="A197" s="456" t="s">
        <v>10</v>
      </c>
      <c r="B197" s="456" t="s">
        <v>0</v>
      </c>
      <c r="C197" s="456" t="s">
        <v>11</v>
      </c>
      <c r="D197" s="456" t="s">
        <v>12</v>
      </c>
      <c r="E197" s="456"/>
      <c r="F197" s="456"/>
      <c r="H197" s="81"/>
      <c r="I197" s="81"/>
      <c r="J197" s="81"/>
      <c r="K197" s="81"/>
      <c r="L197" s="81"/>
    </row>
    <row r="198" spans="1:12" x14ac:dyDescent="0.25">
      <c r="A198" s="456"/>
      <c r="B198" s="456"/>
      <c r="C198" s="456"/>
      <c r="D198" s="286" t="s">
        <v>13</v>
      </c>
      <c r="E198" s="286" t="s">
        <v>14</v>
      </c>
      <c r="F198" s="286" t="s">
        <v>15</v>
      </c>
      <c r="H198" s="81"/>
      <c r="I198" s="81"/>
      <c r="J198" s="81"/>
      <c r="K198" s="81"/>
      <c r="L198" s="81"/>
    </row>
    <row r="199" spans="1:12" x14ac:dyDescent="0.25">
      <c r="A199" s="222">
        <v>1</v>
      </c>
      <c r="B199" s="17" t="s">
        <v>16</v>
      </c>
      <c r="C199" s="456"/>
      <c r="D199" s="456"/>
      <c r="E199" s="456"/>
      <c r="F199" s="120"/>
      <c r="H199" s="81"/>
      <c r="I199" s="81"/>
      <c r="J199" s="81"/>
      <c r="K199" s="81"/>
      <c r="L199" s="81"/>
    </row>
    <row r="200" spans="1:12" ht="28.5" x14ac:dyDescent="0.25">
      <c r="A200" s="222">
        <v>1.1000000000000001</v>
      </c>
      <c r="B200" s="9" t="s">
        <v>17</v>
      </c>
      <c r="C200" s="222" t="s">
        <v>18</v>
      </c>
      <c r="D200" s="31">
        <v>168</v>
      </c>
      <c r="E200" s="14">
        <v>5214</v>
      </c>
      <c r="F200" s="14">
        <f t="shared" ref="F200:F216" si="8">ROUND((D200*E200),0)</f>
        <v>875952</v>
      </c>
      <c r="H200" s="81"/>
      <c r="I200" s="81"/>
      <c r="J200" s="81"/>
      <c r="K200" s="81"/>
      <c r="L200" s="81"/>
    </row>
    <row r="201" spans="1:12" ht="28.5" x14ac:dyDescent="0.25">
      <c r="A201" s="222">
        <v>1.2</v>
      </c>
      <c r="B201" s="9" t="s">
        <v>19</v>
      </c>
      <c r="C201" s="222" t="s">
        <v>20</v>
      </c>
      <c r="D201" s="31">
        <v>510</v>
      </c>
      <c r="E201" s="14">
        <v>9047</v>
      </c>
      <c r="F201" s="14">
        <f t="shared" si="8"/>
        <v>4613970</v>
      </c>
      <c r="H201" s="81"/>
      <c r="I201" s="81"/>
      <c r="J201" s="81"/>
      <c r="K201" s="81"/>
      <c r="L201" s="81"/>
    </row>
    <row r="202" spans="1:12" ht="42.75" x14ac:dyDescent="0.25">
      <c r="A202" s="222">
        <v>1.3</v>
      </c>
      <c r="B202" s="9" t="s">
        <v>21</v>
      </c>
      <c r="C202" s="222" t="s">
        <v>18</v>
      </c>
      <c r="D202" s="31">
        <v>340</v>
      </c>
      <c r="E202" s="14">
        <v>13608</v>
      </c>
      <c r="F202" s="14">
        <f t="shared" si="8"/>
        <v>4626720</v>
      </c>
      <c r="H202" s="81"/>
      <c r="I202" s="81"/>
      <c r="J202" s="81"/>
      <c r="K202" s="81"/>
      <c r="L202" s="81"/>
    </row>
    <row r="203" spans="1:12" x14ac:dyDescent="0.25">
      <c r="A203" s="222">
        <v>1.4</v>
      </c>
      <c r="B203" s="9" t="s">
        <v>22</v>
      </c>
      <c r="C203" s="222" t="s">
        <v>23</v>
      </c>
      <c r="D203" s="31">
        <v>4</v>
      </c>
      <c r="E203" s="14">
        <v>155349</v>
      </c>
      <c r="F203" s="14">
        <f t="shared" si="8"/>
        <v>621396</v>
      </c>
      <c r="H203" s="81"/>
      <c r="I203" s="81"/>
      <c r="J203" s="81"/>
      <c r="K203" s="81"/>
      <c r="L203" s="81"/>
    </row>
    <row r="204" spans="1:12" ht="28.5" x14ac:dyDescent="0.25">
      <c r="A204" s="222">
        <v>1.5</v>
      </c>
      <c r="B204" s="9" t="s">
        <v>24</v>
      </c>
      <c r="C204" s="222" t="s">
        <v>23</v>
      </c>
      <c r="D204" s="31">
        <v>1</v>
      </c>
      <c r="E204" s="14">
        <v>786410</v>
      </c>
      <c r="F204" s="14">
        <f t="shared" si="8"/>
        <v>786410</v>
      </c>
      <c r="H204" s="81"/>
      <c r="I204" s="81"/>
      <c r="J204" s="81"/>
      <c r="K204" s="81"/>
      <c r="L204" s="81"/>
    </row>
    <row r="205" spans="1:12" x14ac:dyDescent="0.25">
      <c r="A205" s="222">
        <v>2</v>
      </c>
      <c r="B205" s="9" t="s">
        <v>28</v>
      </c>
      <c r="C205" s="222"/>
      <c r="D205" s="120"/>
      <c r="E205" s="14"/>
      <c r="F205" s="14" t="s">
        <v>1</v>
      </c>
      <c r="H205" s="81"/>
      <c r="I205" s="81"/>
      <c r="J205" s="81"/>
      <c r="K205" s="81"/>
      <c r="L205" s="81"/>
    </row>
    <row r="206" spans="1:12" x14ac:dyDescent="0.25">
      <c r="A206" s="222">
        <v>2.1</v>
      </c>
      <c r="B206" s="9" t="s">
        <v>29</v>
      </c>
      <c r="C206" s="222" t="s">
        <v>64</v>
      </c>
      <c r="D206" s="31">
        <v>90</v>
      </c>
      <c r="E206" s="14">
        <v>26317</v>
      </c>
      <c r="F206" s="14">
        <f t="shared" si="8"/>
        <v>2368530</v>
      </c>
      <c r="H206" s="81"/>
      <c r="I206" s="81"/>
      <c r="J206" s="81"/>
      <c r="K206" s="81"/>
      <c r="L206" s="81"/>
    </row>
    <row r="207" spans="1:12" x14ac:dyDescent="0.25">
      <c r="A207" s="222">
        <v>2.4</v>
      </c>
      <c r="B207" s="17" t="s">
        <v>156</v>
      </c>
      <c r="C207" s="222" t="s">
        <v>64</v>
      </c>
      <c r="D207" s="31">
        <f>+G248+G259</f>
        <v>0</v>
      </c>
      <c r="E207" s="14">
        <v>29124</v>
      </c>
      <c r="F207" s="14" t="s">
        <v>1</v>
      </c>
      <c r="H207" s="81"/>
      <c r="I207" s="81"/>
      <c r="J207" s="81"/>
      <c r="K207" s="81"/>
      <c r="L207" s="81"/>
    </row>
    <row r="208" spans="1:12" x14ac:dyDescent="0.25">
      <c r="A208" s="222">
        <v>2.5</v>
      </c>
      <c r="B208" s="9" t="s">
        <v>31</v>
      </c>
      <c r="C208" s="222" t="s">
        <v>18</v>
      </c>
      <c r="D208" s="31">
        <v>85</v>
      </c>
      <c r="E208" s="14">
        <v>31128</v>
      </c>
      <c r="F208" s="14">
        <f t="shared" si="8"/>
        <v>2645880</v>
      </c>
      <c r="H208" s="81"/>
      <c r="I208" s="81"/>
      <c r="J208" s="81"/>
      <c r="K208" s="81"/>
      <c r="L208" s="81"/>
    </row>
    <row r="209" spans="1:12" ht="29.25" x14ac:dyDescent="0.25">
      <c r="A209" s="222">
        <v>2.6</v>
      </c>
      <c r="B209" s="17" t="s">
        <v>32</v>
      </c>
      <c r="C209" s="222" t="s">
        <v>64</v>
      </c>
      <c r="D209" s="31">
        <v>14</v>
      </c>
      <c r="E209" s="14">
        <v>32749</v>
      </c>
      <c r="F209" s="14">
        <f t="shared" si="8"/>
        <v>458486</v>
      </c>
      <c r="H209" s="81"/>
      <c r="I209" s="81"/>
      <c r="J209" s="81"/>
      <c r="K209" s="81"/>
      <c r="L209" s="81"/>
    </row>
    <row r="210" spans="1:12" ht="29.25" x14ac:dyDescent="0.25">
      <c r="A210" s="222">
        <v>3</v>
      </c>
      <c r="B210" s="17" t="s">
        <v>33</v>
      </c>
      <c r="C210" s="222"/>
      <c r="D210" s="120"/>
      <c r="E210" s="14"/>
      <c r="F210" s="14" t="s">
        <v>1</v>
      </c>
      <c r="H210" s="81"/>
      <c r="I210" s="81"/>
      <c r="J210" s="81"/>
      <c r="K210" s="81"/>
      <c r="L210" s="81"/>
    </row>
    <row r="211" spans="1:12" ht="28.5" x14ac:dyDescent="0.25">
      <c r="A211" s="222">
        <v>3.1</v>
      </c>
      <c r="B211" s="9" t="s">
        <v>712</v>
      </c>
      <c r="C211" s="222" t="s">
        <v>18</v>
      </c>
      <c r="D211" s="31">
        <v>168</v>
      </c>
      <c r="E211" s="14">
        <v>23781</v>
      </c>
      <c r="F211" s="14">
        <f t="shared" si="8"/>
        <v>3995208</v>
      </c>
      <c r="H211" s="81"/>
      <c r="I211" s="81"/>
      <c r="J211" s="81"/>
      <c r="K211" s="81"/>
      <c r="L211" s="81"/>
    </row>
    <row r="212" spans="1:12" ht="57" x14ac:dyDescent="0.25">
      <c r="A212" s="222">
        <v>3.1</v>
      </c>
      <c r="B212" s="121" t="s">
        <v>713</v>
      </c>
      <c r="C212" s="222" t="s">
        <v>18</v>
      </c>
      <c r="D212" s="31">
        <v>4</v>
      </c>
      <c r="E212" s="14">
        <v>637411</v>
      </c>
      <c r="F212" s="14">
        <f t="shared" si="8"/>
        <v>2549644</v>
      </c>
      <c r="H212" s="81"/>
      <c r="I212" s="81"/>
      <c r="J212" s="81"/>
      <c r="K212" s="81"/>
      <c r="L212" s="81"/>
    </row>
    <row r="213" spans="1:12" x14ac:dyDescent="0.25">
      <c r="A213" s="222">
        <v>3.3</v>
      </c>
      <c r="B213" s="55" t="s">
        <v>38</v>
      </c>
      <c r="C213" s="222" t="s">
        <v>37</v>
      </c>
      <c r="D213" s="31">
        <v>4</v>
      </c>
      <c r="E213" s="14">
        <v>540447</v>
      </c>
      <c r="F213" s="14">
        <f t="shared" si="8"/>
        <v>2161788</v>
      </c>
      <c r="H213" s="81"/>
      <c r="I213" s="81"/>
      <c r="J213" s="81"/>
      <c r="K213" s="81"/>
      <c r="L213" s="81"/>
    </row>
    <row r="214" spans="1:12" x14ac:dyDescent="0.25">
      <c r="A214" s="222">
        <v>4</v>
      </c>
      <c r="B214" s="55" t="s">
        <v>43</v>
      </c>
      <c r="C214" s="222"/>
      <c r="D214" s="120"/>
      <c r="E214" s="14"/>
      <c r="F214" s="14" t="s">
        <v>1</v>
      </c>
      <c r="H214" s="81"/>
      <c r="I214" s="81"/>
      <c r="J214" s="81"/>
      <c r="K214" s="81"/>
      <c r="L214" s="81"/>
    </row>
    <row r="215" spans="1:12" x14ac:dyDescent="0.25">
      <c r="A215" s="222">
        <v>4.0999999999999996</v>
      </c>
      <c r="B215" s="9" t="s">
        <v>44</v>
      </c>
      <c r="C215" s="222" t="s">
        <v>64</v>
      </c>
      <c r="D215" s="31">
        <v>42</v>
      </c>
      <c r="E215" s="14">
        <v>120657</v>
      </c>
      <c r="F215" s="14">
        <f t="shared" si="8"/>
        <v>5067594</v>
      </c>
      <c r="H215" s="81"/>
      <c r="I215" s="81"/>
      <c r="J215" s="81"/>
      <c r="K215" s="81"/>
      <c r="L215" s="81"/>
    </row>
    <row r="216" spans="1:12" ht="28.5" x14ac:dyDescent="0.25">
      <c r="A216" s="222">
        <v>4.2</v>
      </c>
      <c r="B216" s="9" t="s">
        <v>45</v>
      </c>
      <c r="C216" s="222" t="s">
        <v>64</v>
      </c>
      <c r="D216" s="61">
        <v>90</v>
      </c>
      <c r="E216" s="207">
        <v>22131</v>
      </c>
      <c r="F216" s="200">
        <f t="shared" si="8"/>
        <v>1991790</v>
      </c>
      <c r="H216" s="81"/>
      <c r="I216" s="81"/>
      <c r="J216" s="81"/>
      <c r="K216" s="81"/>
      <c r="L216" s="81"/>
    </row>
    <row r="217" spans="1:12" ht="43.5" x14ac:dyDescent="0.25">
      <c r="A217" s="222">
        <v>10</v>
      </c>
      <c r="B217" s="17" t="s">
        <v>820</v>
      </c>
      <c r="C217" s="222" t="s">
        <v>55</v>
      </c>
      <c r="D217" s="31">
        <v>2</v>
      </c>
      <c r="E217" s="14">
        <f>1673138</f>
        <v>1673138</v>
      </c>
      <c r="F217" s="38">
        <f t="shared" ref="F217:F218" si="9">D217*E217</f>
        <v>3346276</v>
      </c>
      <c r="H217" s="81"/>
      <c r="I217" s="81"/>
      <c r="J217" s="81"/>
      <c r="K217" s="81"/>
      <c r="L217" s="81"/>
    </row>
    <row r="218" spans="1:12" ht="29.25" x14ac:dyDescent="0.25">
      <c r="A218" s="222">
        <v>11</v>
      </c>
      <c r="B218" s="17" t="s">
        <v>819</v>
      </c>
      <c r="C218" s="222" t="s">
        <v>23</v>
      </c>
      <c r="D218" s="31">
        <v>1</v>
      </c>
      <c r="E218" s="201">
        <v>788768</v>
      </c>
      <c r="F218" s="38">
        <f t="shared" si="9"/>
        <v>788768</v>
      </c>
      <c r="H218" s="81"/>
      <c r="I218" s="81"/>
      <c r="J218" s="81"/>
      <c r="K218" s="81"/>
      <c r="L218" s="81"/>
    </row>
    <row r="219" spans="1:12" x14ac:dyDescent="0.25">
      <c r="A219" s="219"/>
      <c r="B219" s="18" t="s">
        <v>56</v>
      </c>
      <c r="C219" s="54"/>
      <c r="D219" s="130"/>
      <c r="E219" s="28"/>
      <c r="F219" s="79">
        <f>SUM(F200:F218)</f>
        <v>36898412</v>
      </c>
      <c r="H219" s="81"/>
      <c r="I219" s="81"/>
      <c r="J219" s="81"/>
      <c r="K219" s="81"/>
      <c r="L219" s="81"/>
    </row>
    <row r="220" spans="1:12" x14ac:dyDescent="0.25">
      <c r="A220" s="19"/>
      <c r="B220" s="19" t="s">
        <v>60</v>
      </c>
      <c r="C220" s="19"/>
      <c r="D220" s="19"/>
      <c r="E220" s="19"/>
      <c r="F220" s="29">
        <f>ROUND(F219/1.3495,0)</f>
        <v>27342284</v>
      </c>
      <c r="H220" s="81"/>
      <c r="I220" s="81"/>
      <c r="J220" s="81"/>
      <c r="K220" s="81"/>
      <c r="L220" s="81"/>
    </row>
    <row r="221" spans="1:12" x14ac:dyDescent="0.25">
      <c r="A221" s="19"/>
      <c r="B221" s="19" t="s">
        <v>61</v>
      </c>
      <c r="C221" s="131">
        <v>0.24</v>
      </c>
      <c r="D221" s="19"/>
      <c r="E221" s="19"/>
      <c r="F221" s="29">
        <f>ROUND(F220*C221,0)</f>
        <v>6562148</v>
      </c>
      <c r="H221" s="81"/>
      <c r="I221" s="81"/>
      <c r="J221" s="81"/>
      <c r="K221" s="81"/>
      <c r="L221" s="81"/>
    </row>
    <row r="222" spans="1:12" x14ac:dyDescent="0.25">
      <c r="A222" s="19"/>
      <c r="B222" s="19" t="s">
        <v>57</v>
      </c>
      <c r="C222" s="131">
        <v>0.05</v>
      </c>
      <c r="D222" s="19"/>
      <c r="E222" s="19"/>
      <c r="F222" s="29">
        <f>ROUND(F220*C222,0)</f>
        <v>1367114</v>
      </c>
      <c r="H222" s="81"/>
      <c r="I222" s="81"/>
      <c r="J222" s="81"/>
      <c r="K222" s="81"/>
      <c r="L222" s="81"/>
    </row>
    <row r="223" spans="1:12" x14ac:dyDescent="0.25">
      <c r="A223" s="19"/>
      <c r="B223" s="19" t="s">
        <v>62</v>
      </c>
      <c r="C223" s="131">
        <v>0.05</v>
      </c>
      <c r="D223" s="19"/>
      <c r="E223" s="19"/>
      <c r="F223" s="29">
        <f>ROUND(F220*C223,0)</f>
        <v>1367114</v>
      </c>
      <c r="H223" s="81"/>
      <c r="I223" s="81"/>
      <c r="J223" s="81"/>
      <c r="K223" s="81"/>
      <c r="L223" s="81"/>
    </row>
    <row r="224" spans="1:12" x14ac:dyDescent="0.25">
      <c r="A224" s="19"/>
      <c r="B224" s="132" t="s">
        <v>63</v>
      </c>
      <c r="C224" s="133">
        <v>0.19</v>
      </c>
      <c r="D224" s="120"/>
      <c r="E224" s="120"/>
      <c r="F224" s="35">
        <f>ROUND(F223*19%,0)</f>
        <v>259752</v>
      </c>
      <c r="H224" s="81"/>
      <c r="I224" s="81"/>
      <c r="J224" s="81"/>
      <c r="K224" s="81"/>
      <c r="L224" s="81"/>
    </row>
    <row r="225" spans="1:12" x14ac:dyDescent="0.25">
      <c r="A225" s="19"/>
      <c r="B225" s="18" t="s">
        <v>56</v>
      </c>
      <c r="C225" s="19"/>
      <c r="D225" s="19"/>
      <c r="E225" s="19"/>
      <c r="F225" s="30">
        <f>SUM(F220:F224)</f>
        <v>36898412</v>
      </c>
      <c r="G225" s="53"/>
      <c r="H225" s="184"/>
      <c r="I225" s="81"/>
      <c r="J225" s="80"/>
      <c r="K225" s="81"/>
      <c r="L225" s="81"/>
    </row>
    <row r="226" spans="1:12" x14ac:dyDescent="0.25">
      <c r="A226" s="81"/>
      <c r="B226" s="81"/>
      <c r="C226" s="81"/>
      <c r="D226" s="81"/>
      <c r="E226" s="81"/>
      <c r="F226" s="81"/>
      <c r="H226" s="81"/>
      <c r="I226" s="81"/>
      <c r="J226" s="81"/>
      <c r="K226" s="81"/>
      <c r="L226" s="81"/>
    </row>
    <row r="227" spans="1:12" x14ac:dyDescent="0.25">
      <c r="A227" s="33"/>
      <c r="B227" s="299" t="s">
        <v>716</v>
      </c>
      <c r="C227" s="299"/>
      <c r="D227" s="299"/>
      <c r="E227" s="299"/>
      <c r="F227" s="137">
        <f>F225+F185+F153</f>
        <v>86739054</v>
      </c>
      <c r="G227" s="53"/>
      <c r="H227" s="83"/>
      <c r="I227" s="81"/>
      <c r="J227" s="182"/>
      <c r="K227" s="135"/>
      <c r="L227" s="183"/>
    </row>
    <row r="228" spans="1:12" x14ac:dyDescent="0.25">
      <c r="A228" s="81"/>
      <c r="B228" s="81"/>
      <c r="C228" s="81"/>
      <c r="D228" s="81"/>
      <c r="E228" s="81"/>
      <c r="F228" s="81"/>
      <c r="H228" s="81"/>
      <c r="I228" s="81"/>
      <c r="J228" s="81"/>
      <c r="K228" s="81"/>
      <c r="L228" s="81"/>
    </row>
    <row r="229" spans="1:12" x14ac:dyDescent="0.25">
      <c r="A229" s="81"/>
      <c r="B229" s="299" t="s">
        <v>827</v>
      </c>
      <c r="C229" s="81"/>
      <c r="D229" s="81"/>
      <c r="E229" s="81"/>
      <c r="F229" s="137">
        <f>F227+F103+F53</f>
        <v>179262995</v>
      </c>
      <c r="H229" s="81"/>
      <c r="I229" s="81"/>
      <c r="J229" s="81"/>
      <c r="K229" s="81"/>
      <c r="L229" s="81"/>
    </row>
    <row r="230" spans="1:12" x14ac:dyDescent="0.25">
      <c r="H230" s="81"/>
      <c r="I230" s="81"/>
      <c r="J230" s="183"/>
      <c r="K230" s="183"/>
      <c r="L230" s="183"/>
    </row>
    <row r="231" spans="1:12" x14ac:dyDescent="0.25">
      <c r="H231" s="81"/>
      <c r="I231" s="81"/>
      <c r="J231" s="81"/>
      <c r="K231" s="81"/>
      <c r="L231" s="81"/>
    </row>
  </sheetData>
  <mergeCells count="27">
    <mergeCell ref="C199:E199"/>
    <mergeCell ref="A195:F195"/>
    <mergeCell ref="A196:F196"/>
    <mergeCell ref="A197:A198"/>
    <mergeCell ref="B197:B198"/>
    <mergeCell ref="C197:C198"/>
    <mergeCell ref="D197:F197"/>
    <mergeCell ref="A157:F157"/>
    <mergeCell ref="A159:A160"/>
    <mergeCell ref="B159:B160"/>
    <mergeCell ref="C159:C160"/>
    <mergeCell ref="D159:F159"/>
    <mergeCell ref="A107:F107"/>
    <mergeCell ref="B108:B109"/>
    <mergeCell ref="C108:C109"/>
    <mergeCell ref="D108:F108"/>
    <mergeCell ref="A108:A109"/>
    <mergeCell ref="C60:E60"/>
    <mergeCell ref="A2:F2"/>
    <mergeCell ref="A6:F6"/>
    <mergeCell ref="A4:B4"/>
    <mergeCell ref="A55:B55"/>
    <mergeCell ref="A57:F57"/>
    <mergeCell ref="A58:A59"/>
    <mergeCell ref="B58:B59"/>
    <mergeCell ref="C58:C59"/>
    <mergeCell ref="D58:F58"/>
  </mergeCells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headerFooter>
    <oddHeader>&amp;C&amp;P de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3A457AFA687747B8D796B755578815" ma:contentTypeVersion="7" ma:contentTypeDescription="Crear nuevo documento." ma:contentTypeScope="" ma:versionID="c3c1bd5e8891055492edd872265876f1">
  <xsd:schema xmlns:xsd="http://www.w3.org/2001/XMLSchema" xmlns:xs="http://www.w3.org/2001/XMLSchema" xmlns:p="http://schemas.microsoft.com/office/2006/metadata/properties" xmlns:ns2="ce24a3a9-0099-4827-b256-819969868103" targetNamespace="http://schemas.microsoft.com/office/2006/metadata/properties" ma:root="true" ma:fieldsID="fa5473fdcd14cb52379d6532bc8ddd54" ns2:_="">
    <xsd:import namespace="ce24a3a9-0099-4827-b256-8199698681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4a3a9-0099-4827-b256-8199698681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8AC204-317E-4714-B638-09F870A0B2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9DA1F4-9B61-41F1-B9E3-D9EBEDD99D24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9c5ec4d1-52e7-47bd-9727-219ea83327c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0D4C7F-AFB5-4E9A-8AF8-7F462E4FD8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GRUPO I AGUADAS </vt:lpstr>
      <vt:lpstr>GRUPO II ANSERMA </vt:lpstr>
      <vt:lpstr>GRUPO III ARAUCA BELALVITER PAL</vt:lpstr>
      <vt:lpstr>GRUPO IV  CHINCHINA </vt:lpstr>
      <vt:lpstr>GRUPOV FIL NEIRA RCIO SUPIA RDA</vt:lpstr>
      <vt:lpstr>GRUPO VI LA DORADA  </vt:lpstr>
      <vt:lpstr>GRUPO VII LA DORADA </vt:lpstr>
      <vt:lpstr>GRUPO VIII LA DORADA </vt:lpstr>
      <vt:lpstr>GRUPO IX MAN SAMA Y VICTORI</vt:lpstr>
      <vt:lpstr>GRUPO X SALAMINA </vt:lpstr>
      <vt:lpstr>'GRUPO I AGUADAS '!Área_de_impresión</vt:lpstr>
      <vt:lpstr>'GRUPO II ANSERMA '!Área_de_impresión</vt:lpstr>
      <vt:lpstr>'GRUPO III ARAUCA BELALVITER PAL'!Área_de_impresión</vt:lpstr>
      <vt:lpstr>'GRUPO IV  CHINCHINA '!Área_de_impresión</vt:lpstr>
      <vt:lpstr>'GRUPO IX MAN SAMA Y VICTORI'!Área_de_impresión</vt:lpstr>
      <vt:lpstr>'GRUPO VI LA DORADA  '!Área_de_impresión</vt:lpstr>
      <vt:lpstr>'GRUPO VII LA DORADA '!Área_de_impresión</vt:lpstr>
      <vt:lpstr>'GRUPO VIII LA DORADA '!Área_de_impresión</vt:lpstr>
      <vt:lpstr>'GRUPO X SALAMINA '!Área_de_impresión</vt:lpstr>
      <vt:lpstr>'GRUPOV FIL NEIRA RCIO SUPIA RDA'!Área_de_impresión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Gloria Carmenza Gallo</cp:lastModifiedBy>
  <cp:lastPrinted>2019-07-08T18:33:53Z</cp:lastPrinted>
  <dcterms:created xsi:type="dcterms:W3CDTF">2019-02-18T20:18:36Z</dcterms:created>
  <dcterms:modified xsi:type="dcterms:W3CDTF">2019-07-19T18:33:33Z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0x0101005D3A457AFA687747B8D796B755578815</vt:lpwstr>
  </property>
</Properties>
</file>